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activeTab="4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<sst xmlns="http://schemas.openxmlformats.org/spreadsheetml/2006/main" count="155" uniqueCount="102">
  <si>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</si>
  <si>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</si>
  <si>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</si>
  <si>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</si>
  <si>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</si>
  <si>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</si>
  <si>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</si>
  <si>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</si>
  <si>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</si>
  <si>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</si>
  <si>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</si>
  <si>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</si>
  <si>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</si>
  <si>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</si>
  <si>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</si>
  <si>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</si>
  <si>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</si>
  <si>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</si>
  <si>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</si>
  <si>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</si>
  <si>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</si>
  <si>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</si>
  <si>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</si>
  <si>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</si>
  <si>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</si>
  <si>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</si>
  <si>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</si>
  <si>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</si>
  <si>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</si>
  <si>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</si>
  <si>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</si>
  <si>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</si>
  <si>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</si>
  <si>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</si>
  <si>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</si>
  <si>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</si>
  <si>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</si>
  <si>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</si>
  <si>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</si>
  <si>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</si>
  <si>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</si>
  <si>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</si>
  <si>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</si>
  <si>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</si>
  <si>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</si>
  <si>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</si>
  <si>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</si>
  <si>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</si>
  <si>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</si>
  <si>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</si>
  <si>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</si>
  <si>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</si>
  <si>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</si>
  <si>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</si>
  <si>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</si>
  <si>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</si>
  <si>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</si>
  <si>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</si>
  <si>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</si>
  <si>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</si>
  <si>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</si>
  <si>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</si>
  <si>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</si>
  <si>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</si>
  <si>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</si>
  <si>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</si>
  <si>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</si>
  <si>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</si>
  <si>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</si>
  <si>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</si>
  <si>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</si>
  <si>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</si>
  <si>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</si>
  <si>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</si>
  <si>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</si>
  <si>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</si>
  <si>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</si>
  <si>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</si>
  <si>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</si>
  <si>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</si>
  <si>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</si>
  <si>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</si>
  <si>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</si>
  <si>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</si>
  <si>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</si>
  <si>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</si>
  <si>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</si>
  <si>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</si>
  <si>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</si>
  <si>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</si>
  <si>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None</t>
  </si>
  <si>
    <t>H-3</t>
  </si>
  <si>
    <t>3HdThd</t>
  </si>
  <si>
    <t>Ecolume</t>
  </si>
  <si>
    <t>6 ml plastic</t>
  </si>
  <si>
    <t>Beckman</t>
  </si>
  <si>
    <t>H-3/50%/Exp4</t>
  </si>
  <si>
    <t>A. Bishayee &amp;M. Lenarcyzk</t>
  </si>
  <si>
    <t>V79 (ATCC)</t>
  </si>
  <si>
    <t>Perkin-Elmer/3106431</t>
  </si>
  <si>
    <t>7/9/2001  15:30:00 PM</t>
  </si>
  <si>
    <t>7/9/2001  16:00:00 PM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</si>
</sst>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m/dd/yy"/>
    <numFmt numFmtId="179" formatCode="0_);[Red]\(0\)"/>
    <numFmt numFmtId="180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 quotePrefix="1">
      <alignment horizontal="left"/>
      <protection locked="0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52205680"/>
        <c:axId val="89073"/>
      </c:scatterChart>
      <c:valAx>
        <c:axId val="52205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073"/>
        <c:crossesAt val="0.001"/>
        <c:crossBetween val="midCat"/>
        <c:dispUnits/>
      </c:valAx>
      <c:valAx>
        <c:axId val="8907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05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801658"/>
        <c:axId val="7214923"/>
      </c:scatterChart>
      <c:valAx>
        <c:axId val="80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14923"/>
        <c:crosses val="autoZero"/>
        <c:crossBetween val="midCat"/>
        <c:dispUnits/>
      </c:valAx>
      <c:valAx>
        <c:axId val="7214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16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4934308"/>
        <c:axId val="47537861"/>
      </c:scatterChart>
      <c:val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37861"/>
        <c:crossesAt val="0.001"/>
        <c:crossBetween val="midCat"/>
        <c:dispUnits/>
      </c:valAx>
      <c:valAx>
        <c:axId val="475378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343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"/>
          <c:y val="0.1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5187566"/>
        <c:axId val="25361503"/>
      </c:scatterChart>
      <c:valAx>
        <c:axId val="25187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361503"/>
        <c:crosses val="autoZero"/>
        <c:crossBetween val="midCat"/>
        <c:dispUnits/>
      </c:valAx>
      <c:valAx>
        <c:axId val="25361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251875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B33" sqref="B33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37077</v>
      </c>
    </row>
    <row r="2" ht="12.75">
      <c r="B2" s="63"/>
    </row>
    <row r="3" spans="1:2" ht="12.75">
      <c r="A3" s="24" t="s">
        <v>15</v>
      </c>
      <c r="B3" s="49" t="s">
        <v>96</v>
      </c>
    </row>
    <row r="4" spans="1:3" ht="12.75">
      <c r="A4" s="24" t="s">
        <v>16</v>
      </c>
      <c r="B4" s="50" t="s">
        <v>97</v>
      </c>
      <c r="C4" s="20"/>
    </row>
    <row r="5" spans="1:2" ht="12.75">
      <c r="A5" s="24" t="s">
        <v>17</v>
      </c>
      <c r="B5" s="50" t="s">
        <v>98</v>
      </c>
    </row>
    <row r="6" spans="1:2" ht="12.75">
      <c r="A6" s="24" t="s">
        <v>81</v>
      </c>
      <c r="B6" s="50" t="s">
        <v>90</v>
      </c>
    </row>
    <row r="7" spans="1:2" ht="12.75">
      <c r="A7" s="24" t="s">
        <v>21</v>
      </c>
      <c r="B7" s="50" t="s">
        <v>91</v>
      </c>
    </row>
    <row r="8" spans="1:3" ht="12.75">
      <c r="A8" s="24" t="s">
        <v>22</v>
      </c>
      <c r="B8" s="50">
        <v>4500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92</v>
      </c>
    </row>
    <row r="11" spans="1:2" ht="12.75">
      <c r="A11" s="24" t="s">
        <v>19</v>
      </c>
      <c r="B11" s="50" t="s">
        <v>99</v>
      </c>
    </row>
    <row r="12" spans="1:4" ht="12.75">
      <c r="A12" s="24" t="s">
        <v>27</v>
      </c>
      <c r="B12" s="52">
        <v>37077</v>
      </c>
      <c r="C12" s="20" t="s">
        <v>25</v>
      </c>
      <c r="D12" s="58">
        <v>37</v>
      </c>
    </row>
    <row r="13" spans="1:4" ht="12.75">
      <c r="A13" s="24" t="s">
        <v>28</v>
      </c>
      <c r="B13" s="54">
        <v>37077</v>
      </c>
      <c r="C13" s="20" t="s">
        <v>89</v>
      </c>
      <c r="D13" s="59">
        <v>0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37</v>
      </c>
    </row>
    <row r="15" ht="12.75">
      <c r="B15" s="63"/>
    </row>
    <row r="16" spans="1:2" ht="12.75">
      <c r="A16" s="24" t="s">
        <v>35</v>
      </c>
      <c r="B16" s="49" t="s">
        <v>93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94</v>
      </c>
    </row>
    <row r="19" spans="1:2" ht="12.75">
      <c r="A19" s="24" t="s">
        <v>36</v>
      </c>
      <c r="B19" s="50" t="s">
        <v>95</v>
      </c>
    </row>
    <row r="20" spans="1:2" ht="12.75">
      <c r="A20" s="24" t="s">
        <v>37</v>
      </c>
      <c r="B20" s="51">
        <v>0.65</v>
      </c>
    </row>
    <row r="21" ht="12.75">
      <c r="B21" s="63"/>
    </row>
    <row r="22" spans="1:2" ht="12.75">
      <c r="A22" s="24" t="s">
        <v>23</v>
      </c>
      <c r="B22" s="53">
        <v>37077.8125</v>
      </c>
    </row>
    <row r="23" spans="1:4" ht="12.75">
      <c r="A23" s="24" t="s">
        <v>24</v>
      </c>
      <c r="B23" s="54">
        <v>37078.395833333336</v>
      </c>
      <c r="C23" s="20" t="s">
        <v>29</v>
      </c>
      <c r="D23" s="27">
        <v>14</v>
      </c>
    </row>
    <row r="24" spans="1:4" ht="12.75">
      <c r="A24" s="24" t="s">
        <v>69</v>
      </c>
      <c r="B24" s="54" t="s">
        <v>100</v>
      </c>
      <c r="C24" s="20" t="s">
        <v>30</v>
      </c>
      <c r="D24" s="27">
        <v>92</v>
      </c>
    </row>
    <row r="25" spans="1:4" ht="12.75">
      <c r="A25" s="24" t="s">
        <v>70</v>
      </c>
      <c r="B25" s="54" t="s">
        <v>101</v>
      </c>
      <c r="C25" s="20" t="s">
        <v>71</v>
      </c>
      <c r="D25" s="27">
        <v>80.5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3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2">
        <f>AVERAGE(D32:F32)</f>
        <v>13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5">
        <v>13</v>
      </c>
      <c r="E32" s="56"/>
      <c r="F32" s="57"/>
    </row>
    <row r="33" spans="1:2" ht="12.75">
      <c r="A33" s="24" t="s">
        <v>84</v>
      </c>
      <c r="B33" s="66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7">
      <pane xSplit="11610" topLeftCell="U1" activePane="topLeft" state="split"/>
      <selection pane="topLeft" activeCell="H22" sqref="H22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H-3/50%/Exp4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37077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7</v>
      </c>
      <c r="C13" s="28">
        <v>12</v>
      </c>
      <c r="D13" s="28">
        <v>14</v>
      </c>
      <c r="E13" s="34">
        <f>AVERAGE(B13:D13,B14:D14)</f>
        <v>8.5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5</v>
      </c>
      <c r="C14" s="28">
        <v>9</v>
      </c>
      <c r="D14" s="28">
        <v>4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219893</v>
      </c>
      <c r="C15" s="29">
        <v>229720</v>
      </c>
      <c r="D15" s="29">
        <v>246466</v>
      </c>
      <c r="E15" s="35">
        <f>AVERAGE(B15:D15)</f>
        <v>232026.33333333334</v>
      </c>
      <c r="F15" s="36">
        <f>(E15-E13)</f>
        <v>232017.83333333334</v>
      </c>
      <c r="G15" s="35">
        <f>F15/(Parameters!$B$9*Parameters!$B$20)</f>
        <v>356950.5128205128</v>
      </c>
      <c r="H15" s="37">
        <f>G15/(37000*60*Parameters!$B$26/1000)</f>
        <v>5.35961730961731</v>
      </c>
      <c r="I15" s="37">
        <f>H15/EXP(-0.693*Parameters!$D$24/(Parameters!$B$8*24))</f>
        <v>5.362782204448632</v>
      </c>
      <c r="J15" s="37">
        <f>I15*37</f>
        <v>198.4229415645994</v>
      </c>
      <c r="O15" s="2"/>
      <c r="P15" s="9"/>
      <c r="Q15" s="2"/>
      <c r="R15" s="1"/>
    </row>
    <row r="16" spans="1:18" ht="12.75">
      <c r="A16" s="20">
        <v>4</v>
      </c>
      <c r="B16" s="29">
        <v>464100</v>
      </c>
      <c r="C16" s="29">
        <v>480086</v>
      </c>
      <c r="D16" s="29">
        <v>475119</v>
      </c>
      <c r="E16" s="35">
        <f aca="true" t="shared" si="0" ref="E16:E22">AVERAGE(B16:D16)</f>
        <v>473101.6666666667</v>
      </c>
      <c r="F16" s="36">
        <f>E16-E13</f>
        <v>473093.1666666667</v>
      </c>
      <c r="G16" s="35">
        <f>F16/(Parameters!$B$9*Parameters!$B$20)</f>
        <v>727835.641025641</v>
      </c>
      <c r="H16" s="37">
        <f>G16/(37000*60*Parameters!$B$26/1000)</f>
        <v>10.928463078463079</v>
      </c>
      <c r="I16" s="37">
        <f>H16/EXP(-0.693*Parameters!$D$24/(Parameters!$B$8*24))</f>
        <v>10.934916419124036</v>
      </c>
      <c r="J16" s="37">
        <f aca="true" t="shared" si="1" ref="J16:J22">I16*37</f>
        <v>404.5919075075893</v>
      </c>
      <c r="O16" s="2"/>
      <c r="P16" s="9"/>
      <c r="Q16" s="2"/>
      <c r="R16" s="1"/>
    </row>
    <row r="17" spans="1:18" ht="12.75">
      <c r="A17" s="20">
        <v>5</v>
      </c>
      <c r="B17" s="29">
        <v>690406</v>
      </c>
      <c r="C17" s="29">
        <v>733800</v>
      </c>
      <c r="D17" s="29">
        <v>712620</v>
      </c>
      <c r="E17" s="35">
        <f t="shared" si="0"/>
        <v>712275.3333333334</v>
      </c>
      <c r="F17" s="36">
        <f>E17-E13</f>
        <v>712266.8333333334</v>
      </c>
      <c r="G17" s="35">
        <f>F17/(Parameters!$B$9*Parameters!$B$20)</f>
        <v>1095795.1282051282</v>
      </c>
      <c r="H17" s="37">
        <f>G17/(37000*60*Parameters!$B$26/1000)</f>
        <v>16.453380303380303</v>
      </c>
      <c r="I17" s="37">
        <f>H17/EXP(-0.693*Parameters!$D$24/(Parameters!$B$8*24))</f>
        <v>16.46309614973122</v>
      </c>
      <c r="J17" s="37">
        <f t="shared" si="1"/>
        <v>609.1345575400552</v>
      </c>
      <c r="O17" s="2"/>
      <c r="P17" s="9"/>
      <c r="Q17" s="2"/>
      <c r="R17" s="1"/>
    </row>
    <row r="18" spans="1:18" ht="12.75">
      <c r="A18" s="20">
        <v>6</v>
      </c>
      <c r="B18" s="29">
        <v>869019</v>
      </c>
      <c r="C18" s="29">
        <v>981846</v>
      </c>
      <c r="D18" s="29">
        <v>928079</v>
      </c>
      <c r="E18" s="35">
        <f t="shared" si="0"/>
        <v>926314.6666666666</v>
      </c>
      <c r="F18" s="36">
        <f>E18-E13</f>
        <v>926306.1666666666</v>
      </c>
      <c r="G18" s="35">
        <f>F18/(Parameters!$B$9*Parameters!$B$20)</f>
        <v>1425086.4102564103</v>
      </c>
      <c r="H18" s="37">
        <f>G18/(37000*60*Parameters!$B$26/1000)</f>
        <v>21.397693847693848</v>
      </c>
      <c r="I18" s="37">
        <f>H18/EXP(-0.693*Parameters!$D$24/(Parameters!$B$8*24))</f>
        <v>21.410329348840406</v>
      </c>
      <c r="J18" s="37">
        <f t="shared" si="1"/>
        <v>792.182185907095</v>
      </c>
      <c r="O18" s="2"/>
      <c r="P18" s="9"/>
      <c r="Q18" s="2"/>
      <c r="R18" s="1"/>
    </row>
    <row r="19" spans="1:18" ht="12.75">
      <c r="A19" s="20">
        <v>7</v>
      </c>
      <c r="B19" s="29">
        <v>1102853</v>
      </c>
      <c r="C19" s="29">
        <v>1171573</v>
      </c>
      <c r="D19" s="29">
        <v>1160850</v>
      </c>
      <c r="E19" s="35">
        <f t="shared" si="0"/>
        <v>1145092</v>
      </c>
      <c r="F19" s="36">
        <f>E19-E13</f>
        <v>1145083.5</v>
      </c>
      <c r="G19" s="35">
        <f>F19/(Parameters!$B$9*Parameters!$B$20)</f>
        <v>1761666.923076923</v>
      </c>
      <c r="H19" s="37">
        <f>G19/(37000*60*Parameters!$B$26/1000)</f>
        <v>26.4514553014553</v>
      </c>
      <c r="I19" s="37">
        <f>H19/EXP(-0.693*Parameters!$D$24/(Parameters!$B$8*24))</f>
        <v>26.467075087221406</v>
      </c>
      <c r="J19" s="37">
        <f t="shared" si="1"/>
        <v>979.281778227192</v>
      </c>
      <c r="O19" s="2"/>
      <c r="P19" s="9"/>
      <c r="Q19" s="2"/>
      <c r="R19" s="1"/>
    </row>
    <row r="20" spans="1:18" ht="12.75">
      <c r="A20" s="20">
        <v>8</v>
      </c>
      <c r="B20" s="29">
        <v>1412913</v>
      </c>
      <c r="C20" s="29">
        <v>1457500</v>
      </c>
      <c r="D20" s="29">
        <v>1428113</v>
      </c>
      <c r="E20" s="35">
        <f t="shared" si="0"/>
        <v>1432842</v>
      </c>
      <c r="F20" s="36">
        <f>E20-E13</f>
        <v>1432833.5</v>
      </c>
      <c r="G20" s="35">
        <f>F20/(Parameters!$B$9*Parameters!$B$20)</f>
        <v>2204359.2307692305</v>
      </c>
      <c r="H20" s="37">
        <f>G20/(37000*60*Parameters!$B$26/1000)</f>
        <v>33.09848694848694</v>
      </c>
      <c r="I20" s="37">
        <f>H20/EXP(-0.693*Parameters!$D$24/(Parameters!$B$8*24))</f>
        <v>33.11803185705344</v>
      </c>
      <c r="J20" s="37">
        <f t="shared" si="1"/>
        <v>1225.3671787109772</v>
      </c>
      <c r="O20" s="2"/>
      <c r="P20" s="9"/>
      <c r="Q20" s="2"/>
      <c r="R20" s="1"/>
    </row>
    <row r="21" spans="1:18" ht="12.75">
      <c r="A21" s="20">
        <v>9</v>
      </c>
      <c r="B21" s="29">
        <v>1556173</v>
      </c>
      <c r="C21" s="29">
        <v>1660053</v>
      </c>
      <c r="D21" s="29">
        <v>1628346</v>
      </c>
      <c r="E21" s="35">
        <f t="shared" si="0"/>
        <v>1614857.3333333333</v>
      </c>
      <c r="F21" s="36">
        <f>E21-E13</f>
        <v>1614848.8333333333</v>
      </c>
      <c r="G21" s="35">
        <f>F21/(Parameters!$B$9*Parameters!$B$20)</f>
        <v>2484382.8205128205</v>
      </c>
      <c r="H21" s="37">
        <f>G21/(37000*60*Parameters!$B$26/1000)</f>
        <v>37.303045353045356</v>
      </c>
      <c r="I21" s="37">
        <f>H21/EXP(-0.693*Parameters!$D$24/(Parameters!$B$8*24))</f>
        <v>37.325073085364714</v>
      </c>
      <c r="J21" s="37">
        <f t="shared" si="1"/>
        <v>1381.0277041584943</v>
      </c>
      <c r="O21" s="2"/>
      <c r="P21" s="9"/>
      <c r="Q21" s="2"/>
      <c r="R21" s="1"/>
    </row>
    <row r="22" spans="1:18" ht="12.75">
      <c r="A22" s="20">
        <v>10</v>
      </c>
      <c r="B22" s="29">
        <v>1765166</v>
      </c>
      <c r="C22" s="29">
        <v>1853619</v>
      </c>
      <c r="D22" s="29">
        <v>1747813</v>
      </c>
      <c r="E22" s="35">
        <f t="shared" si="0"/>
        <v>1788866</v>
      </c>
      <c r="F22" s="36">
        <f>E22-E13</f>
        <v>1788857.5</v>
      </c>
      <c r="G22" s="35">
        <f>F22/(Parameters!$B$9*Parameters!$B$20)</f>
        <v>2752088.4615384615</v>
      </c>
      <c r="H22" s="37">
        <f>G22/(37000*60*Parameters!$B$26/1000)</f>
        <v>41.322649572649574</v>
      </c>
      <c r="I22" s="37">
        <f>H22/EXP(-0.693*Parameters!$D$24/(Parameters!$B$8*24))</f>
        <v>41.34705091186728</v>
      </c>
      <c r="J22" s="37">
        <f t="shared" si="1"/>
        <v>1529.8408837390893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23" sqref="F23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H-3/50%/Exp4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37077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21</v>
      </c>
      <c r="C13" s="28">
        <v>28</v>
      </c>
      <c r="D13" s="28">
        <v>38</v>
      </c>
      <c r="E13" s="34">
        <f>AVERAGE(B13:D14)</f>
        <v>17.333333333333332</v>
      </c>
      <c r="F13" s="34">
        <v>0</v>
      </c>
      <c r="G13" s="40">
        <v>0</v>
      </c>
      <c r="H13" s="41">
        <v>0</v>
      </c>
      <c r="I13" s="40">
        <v>0</v>
      </c>
      <c r="J13" s="60">
        <f>I13*37</f>
        <v>0</v>
      </c>
    </row>
    <row r="14" spans="1:10" ht="12.75">
      <c r="A14" s="33">
        <v>2</v>
      </c>
      <c r="B14" s="28">
        <v>2</v>
      </c>
      <c r="C14" s="28">
        <v>7</v>
      </c>
      <c r="D14" s="28">
        <v>8</v>
      </c>
      <c r="E14" s="34"/>
      <c r="F14" s="34">
        <v>0</v>
      </c>
      <c r="G14" s="40">
        <v>0</v>
      </c>
      <c r="H14" s="41">
        <v>0</v>
      </c>
      <c r="I14" s="40">
        <v>0</v>
      </c>
      <c r="J14" s="60">
        <f aca="true" t="shared" si="0" ref="J14:J22">I14*37</f>
        <v>0</v>
      </c>
    </row>
    <row r="15" spans="1:10" ht="12.75">
      <c r="A15" s="20">
        <v>3</v>
      </c>
      <c r="B15" s="29">
        <v>8653</v>
      </c>
      <c r="C15" s="29">
        <v>4845</v>
      </c>
      <c r="D15" s="29">
        <v>7656</v>
      </c>
      <c r="E15" s="35">
        <f aca="true" t="shared" si="1" ref="E15:E22">AVERAGE(B15:D15)</f>
        <v>7051.333333333333</v>
      </c>
      <c r="F15" s="35">
        <f>E15-$E$13</f>
        <v>7034</v>
      </c>
      <c r="G15" s="35">
        <f>F15/(Parameters!$B$9*Parameters!$B$20)</f>
        <v>10821.538461538461</v>
      </c>
      <c r="H15" s="42">
        <f>G15/(37000*60*Parameters!$B$27/1000)</f>
        <v>0.04874566874566874</v>
      </c>
      <c r="I15" s="42">
        <f>H15/EXP(-0.693*(Parameters!$D$25)/(Parameters!$B$8*24))</f>
        <v>0.048770854418810204</v>
      </c>
      <c r="J15" s="37">
        <f t="shared" si="0"/>
        <v>1.8045216134959776</v>
      </c>
    </row>
    <row r="16" spans="1:10" ht="12.75">
      <c r="A16" s="20">
        <v>4</v>
      </c>
      <c r="B16" s="29">
        <v>19950</v>
      </c>
      <c r="C16" s="29">
        <v>23924</v>
      </c>
      <c r="D16" s="29">
        <v>18332</v>
      </c>
      <c r="E16" s="35">
        <f t="shared" si="1"/>
        <v>20735.333333333332</v>
      </c>
      <c r="F16" s="35">
        <f aca="true" t="shared" si="2" ref="F16:F22">E16-$E$13</f>
        <v>20718</v>
      </c>
      <c r="G16" s="35">
        <f>F16/(Parameters!$B$9*Parameters!$B$20)</f>
        <v>31873.846153846152</v>
      </c>
      <c r="H16" s="42">
        <f>G16/(37000*60*Parameters!$B$27/1000)</f>
        <v>0.14357588357588358</v>
      </c>
      <c r="I16" s="42">
        <f>H16/EXP(-0.693*(Parameters!$D$25)/(Parameters!$B$8*24))</f>
        <v>0.14365006565949814</v>
      </c>
      <c r="J16" s="37">
        <f t="shared" si="0"/>
        <v>5.315052429401431</v>
      </c>
    </row>
    <row r="17" spans="1:10" ht="12.75">
      <c r="A17" s="20">
        <v>5</v>
      </c>
      <c r="B17" s="29">
        <v>24887</v>
      </c>
      <c r="C17" s="29">
        <v>25270</v>
      </c>
      <c r="D17" s="29">
        <v>32334</v>
      </c>
      <c r="E17" s="35">
        <f t="shared" si="1"/>
        <v>27497</v>
      </c>
      <c r="F17" s="35">
        <f t="shared" si="2"/>
        <v>27479.666666666668</v>
      </c>
      <c r="G17" s="35">
        <f>F17/(Parameters!$B$9*Parameters!$B$20)</f>
        <v>42276.41025641026</v>
      </c>
      <c r="H17" s="42">
        <f>G17/(37000*60*Parameters!$B$27/1000)</f>
        <v>0.19043428043428043</v>
      </c>
      <c r="I17" s="42">
        <f>H17/EXP(-0.693*(Parameters!$D$25)/(Parameters!$B$8*24))</f>
        <v>0.1905326730846505</v>
      </c>
      <c r="J17" s="37">
        <f t="shared" si="0"/>
        <v>7.049708904132069</v>
      </c>
    </row>
    <row r="18" spans="1:10" ht="12.75">
      <c r="A18" s="20">
        <v>6</v>
      </c>
      <c r="B18" s="29">
        <v>39877</v>
      </c>
      <c r="C18" s="29">
        <v>38277</v>
      </c>
      <c r="D18" s="29">
        <v>30457</v>
      </c>
      <c r="E18" s="35">
        <f t="shared" si="1"/>
        <v>36203.666666666664</v>
      </c>
      <c r="F18" s="35">
        <f t="shared" si="2"/>
        <v>36186.33333333333</v>
      </c>
      <c r="G18" s="35">
        <f>F18/(Parameters!$B$9*Parameters!$B$20)</f>
        <v>55671.28205128204</v>
      </c>
      <c r="H18" s="42">
        <f>G18/(37000*60*Parameters!$B$27/1000)</f>
        <v>0.25077154077154074</v>
      </c>
      <c r="I18" s="42">
        <f>H18/EXP(-0.693*(Parameters!$D$25)/(Parameters!$B$8*24))</f>
        <v>0.2509011081817656</v>
      </c>
      <c r="J18" s="37">
        <f t="shared" si="0"/>
        <v>9.283341002725326</v>
      </c>
    </row>
    <row r="19" spans="1:10" ht="12.75">
      <c r="A19" s="20">
        <v>7</v>
      </c>
      <c r="B19" s="29">
        <v>60425</v>
      </c>
      <c r="C19" s="29">
        <v>71826</v>
      </c>
      <c r="D19" s="29">
        <v>88000</v>
      </c>
      <c r="E19" s="35">
        <f t="shared" si="1"/>
        <v>73417</v>
      </c>
      <c r="F19" s="35">
        <f t="shared" si="2"/>
        <v>73399.66666666667</v>
      </c>
      <c r="G19" s="35">
        <f>F19/(Parameters!$B$9*Parameters!$B$20)</f>
        <v>112922.56410256411</v>
      </c>
      <c r="H19" s="42">
        <f>G19/(37000*60*Parameters!$B$27/1000)</f>
        <v>0.5086601986601987</v>
      </c>
      <c r="I19" s="42">
        <f>H19/EXP(-0.693*(Parameters!$D$25)/(Parameters!$B$8*24))</f>
        <v>0.5089230107178273</v>
      </c>
      <c r="J19" s="37">
        <f t="shared" si="0"/>
        <v>18.83015139655961</v>
      </c>
    </row>
    <row r="20" spans="1:10" ht="12.75">
      <c r="A20" s="20">
        <v>8</v>
      </c>
      <c r="B20" s="29">
        <v>93433</v>
      </c>
      <c r="C20" s="29">
        <v>101846</v>
      </c>
      <c r="D20" s="29">
        <v>100526</v>
      </c>
      <c r="E20" s="35">
        <f t="shared" si="1"/>
        <v>98601.66666666667</v>
      </c>
      <c r="F20" s="35">
        <f t="shared" si="2"/>
        <v>98584.33333333334</v>
      </c>
      <c r="G20" s="35">
        <f>F20/(Parameters!$B$9*Parameters!$B$20)</f>
        <v>151668.20512820513</v>
      </c>
      <c r="H20" s="42">
        <f>G20/(37000*60*Parameters!$B$27/1000)</f>
        <v>0.6831901131901131</v>
      </c>
      <c r="I20" s="42">
        <f>H20/EXP(-0.693*(Parameters!$D$25)/(Parameters!$B$8*24))</f>
        <v>0.6835431005083108</v>
      </c>
      <c r="J20" s="37">
        <f t="shared" si="0"/>
        <v>25.2910947188075</v>
      </c>
    </row>
    <row r="21" spans="1:10" ht="12.75">
      <c r="A21" s="20">
        <v>9</v>
      </c>
      <c r="B21" s="29">
        <v>62430</v>
      </c>
      <c r="C21" s="29">
        <v>62725</v>
      </c>
      <c r="D21" s="29">
        <v>51750</v>
      </c>
      <c r="E21" s="35">
        <f t="shared" si="1"/>
        <v>58968.333333333336</v>
      </c>
      <c r="F21" s="35">
        <f t="shared" si="2"/>
        <v>58951</v>
      </c>
      <c r="G21" s="35">
        <f>F21/(Parameters!$B$9*Parameters!$B$20)</f>
        <v>90693.84615384616</v>
      </c>
      <c r="H21" s="42">
        <f>G21/(37000*60*Parameters!$B$27/1000)</f>
        <v>0.40853083853083855</v>
      </c>
      <c r="I21" s="42">
        <f>H21/EXP(-0.693*(Parameters!$D$25)/(Parameters!$B$8*24))</f>
        <v>0.408741916241581</v>
      </c>
      <c r="J21" s="37">
        <f t="shared" si="0"/>
        <v>15.123450900938497</v>
      </c>
    </row>
    <row r="22" spans="1:10" ht="12.75">
      <c r="A22" s="20">
        <v>10</v>
      </c>
      <c r="B22" s="29">
        <v>117587</v>
      </c>
      <c r="C22" s="29">
        <v>114479</v>
      </c>
      <c r="D22" s="29">
        <v>138360</v>
      </c>
      <c r="E22" s="35">
        <f t="shared" si="1"/>
        <v>123475.33333333333</v>
      </c>
      <c r="F22" s="35">
        <f t="shared" si="2"/>
        <v>123458</v>
      </c>
      <c r="G22" s="35">
        <f>F22/(Parameters!$B$9*Parameters!$B$20)</f>
        <v>189935.3846153846</v>
      </c>
      <c r="H22" s="42">
        <f>G22/(37000*60*Parameters!$B$27/1000)</f>
        <v>0.8555647955647955</v>
      </c>
      <c r="I22" s="42">
        <f>H22/EXP(-0.693*(Parameters!$D$25)/(Parameters!$B$8*24))</f>
        <v>0.8560068445887788</v>
      </c>
      <c r="J22" s="37">
        <f t="shared" si="0"/>
        <v>31.672253249784816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49">
      <selection activeCell="F46" sqref="F46"/>
    </sheetView>
  </sheetViews>
  <sheetFormatPr defaultColWidth="9.140625" defaultRowHeight="12.75"/>
  <cols>
    <col min="1" max="1" width="6.57421875" style="64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4" t="s">
        <v>45</v>
      </c>
      <c r="B3" s="20"/>
      <c r="C3" s="20" t="str">
        <f>Parameters!$B$3</f>
        <v>H-3/50%/Exp4</v>
      </c>
      <c r="D3" s="20"/>
      <c r="E3" s="20"/>
      <c r="F3" s="20"/>
    </row>
    <row r="4" spans="1:6" ht="12.75">
      <c r="A4" s="64" t="s">
        <v>12</v>
      </c>
      <c r="B4" s="20"/>
      <c r="C4" s="43">
        <f>Parameters!$B$1</f>
        <v>37077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4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5">
        <v>1</v>
      </c>
      <c r="B13" s="28">
        <v>4873</v>
      </c>
      <c r="C13" s="28">
        <v>4965</v>
      </c>
      <c r="D13" s="28">
        <v>4933</v>
      </c>
      <c r="E13" s="34">
        <f>IF(Parameters!$B$33="Yes",AVERAGE(G13:J13),AVERAGE(B13:D13))</f>
        <v>4923.666666666667</v>
      </c>
      <c r="F13" s="34">
        <f>IF(Parameters!$B$33="Yes",E13*10000,(E13-Parameters!$B$31)*Parameters!$B$32*(100/Parameters!$B$29)*(500/Parameters!$B$30))</f>
        <v>1964266.6666666667</v>
      </c>
      <c r="G13" s="26"/>
      <c r="H13" s="26"/>
      <c r="I13" s="26"/>
      <c r="J13" s="26"/>
    </row>
    <row r="14" spans="1:10" ht="12.75">
      <c r="A14" s="65">
        <v>2</v>
      </c>
      <c r="B14" s="28">
        <v>4226</v>
      </c>
      <c r="C14" s="28">
        <v>4377</v>
      </c>
      <c r="D14" s="28">
        <v>4142</v>
      </c>
      <c r="E14" s="34">
        <f>IF(Parameters!$B$33="Yes",AVERAGE(G14:J14),AVERAGE(B14:D14))</f>
        <v>4248.333333333333</v>
      </c>
      <c r="F14" s="34">
        <f>IF(Parameters!$B$33="Yes",E14*10000,(E14-Parameters!$B$31)*Parameters!$B$32*(100/Parameters!$B$29)*(500/Parameters!$B$30))</f>
        <v>1694133.3333333333</v>
      </c>
      <c r="G14" s="26"/>
      <c r="H14" s="26"/>
      <c r="I14" s="26"/>
      <c r="J14" s="26"/>
    </row>
    <row r="15" spans="1:10" ht="12.75">
      <c r="A15" s="64">
        <v>3</v>
      </c>
      <c r="B15" s="29">
        <v>4918</v>
      </c>
      <c r="C15" s="29">
        <v>4874</v>
      </c>
      <c r="D15" s="29">
        <v>5043</v>
      </c>
      <c r="E15" s="35">
        <f>IF(Parameters!$B$33="Yes",AVERAGE(G15:J15),AVERAGE(B15:D15))</f>
        <v>4945</v>
      </c>
      <c r="F15" s="35">
        <f>IF(Parameters!$B$33="Yes",E15*10000,(E15-Parameters!$B$31)*Parameters!$B$32*(100/Parameters!$B$29)*(500/Parameters!$B$30))</f>
        <v>1972800</v>
      </c>
      <c r="G15" s="26"/>
      <c r="H15" s="26"/>
      <c r="I15" s="26"/>
      <c r="J15" s="26"/>
    </row>
    <row r="16" spans="1:10" ht="12.75">
      <c r="A16" s="64">
        <v>4</v>
      </c>
      <c r="B16" s="29">
        <v>4777</v>
      </c>
      <c r="C16" s="29">
        <v>4802</v>
      </c>
      <c r="D16" s="29">
        <v>4712</v>
      </c>
      <c r="E16" s="35">
        <f>IF(Parameters!$B$33="Yes",AVERAGE(G16:J16),AVERAGE(B16:D16))</f>
        <v>4763.666666666667</v>
      </c>
      <c r="F16" s="35">
        <f>IF(Parameters!$B$33="Yes",E16*10000,(E16-Parameters!$B$31)*Parameters!$B$32*(100/Parameters!$B$29)*(500/Parameters!$B$30))</f>
        <v>1900266.6666666667</v>
      </c>
      <c r="G16" s="26"/>
      <c r="H16" s="26"/>
      <c r="I16" s="26"/>
      <c r="J16" s="26"/>
    </row>
    <row r="17" spans="1:10" ht="12.75">
      <c r="A17" s="64">
        <v>5</v>
      </c>
      <c r="B17" s="29">
        <v>4429</v>
      </c>
      <c r="C17" s="29">
        <v>4375</v>
      </c>
      <c r="D17" s="29">
        <v>4438</v>
      </c>
      <c r="E17" s="35">
        <f>IF(Parameters!$B$33="Yes",AVERAGE(G17:J17),AVERAGE(B17:D17))</f>
        <v>4414</v>
      </c>
      <c r="F17" s="35">
        <f>IF(Parameters!$B$33="Yes",E17*10000,(E17-Parameters!$B$31)*Parameters!$B$32*(100/Parameters!$B$29)*(500/Parameters!$B$30))</f>
        <v>1760400</v>
      </c>
      <c r="G17" s="26"/>
      <c r="H17" s="26"/>
      <c r="I17" s="26"/>
      <c r="J17" s="26"/>
    </row>
    <row r="18" spans="1:10" ht="12.75">
      <c r="A18" s="64">
        <v>6</v>
      </c>
      <c r="B18" s="29">
        <v>3883</v>
      </c>
      <c r="C18" s="29">
        <v>3776</v>
      </c>
      <c r="D18" s="29">
        <v>3929</v>
      </c>
      <c r="E18" s="35">
        <f>IF(Parameters!$B$33="Yes",AVERAGE(G18:J18),AVERAGE(B18:D18))</f>
        <v>3862.6666666666665</v>
      </c>
      <c r="F18" s="35">
        <f>IF(Parameters!$B$33="Yes",E18*10000,(E18-Parameters!$B$31)*Parameters!$B$32*(100/Parameters!$B$29)*(500/Parameters!$B$30))</f>
        <v>1539866.6666666665</v>
      </c>
      <c r="G18" s="26"/>
      <c r="H18" s="26"/>
      <c r="I18" s="26"/>
      <c r="J18" s="26"/>
    </row>
    <row r="19" spans="1:10" ht="12.75">
      <c r="A19" s="64">
        <v>7</v>
      </c>
      <c r="B19" s="29">
        <v>4333</v>
      </c>
      <c r="C19" s="29">
        <v>4442</v>
      </c>
      <c r="D19" s="29">
        <v>4358</v>
      </c>
      <c r="E19" s="35">
        <f>IF(Parameters!$B$33="Yes",AVERAGE(G19:J19),AVERAGE(B19:D19))</f>
        <v>4377.666666666667</v>
      </c>
      <c r="F19" s="35">
        <f>IF(Parameters!$B$33="Yes",E19*10000,(E19-Parameters!$B$31)*Parameters!$B$32*(100/Parameters!$B$29)*(500/Parameters!$B$30))</f>
        <v>1745866.6666666667</v>
      </c>
      <c r="G19" s="26"/>
      <c r="H19" s="26"/>
      <c r="I19" s="26"/>
      <c r="J19" s="26"/>
    </row>
    <row r="20" spans="1:10" ht="12.75">
      <c r="A20" s="64">
        <v>8</v>
      </c>
      <c r="B20" s="29">
        <v>3505</v>
      </c>
      <c r="C20" s="29">
        <v>3507</v>
      </c>
      <c r="D20" s="29">
        <v>3370</v>
      </c>
      <c r="E20" s="35">
        <f>IF(Parameters!$B$33="Yes",AVERAGE(G20:J20),AVERAGE(B20:D20))</f>
        <v>3460.6666666666665</v>
      </c>
      <c r="F20" s="35">
        <f>IF(Parameters!$B$33="Yes",E20*10000,(E20-Parameters!$B$31)*Parameters!$B$32*(100/Parameters!$B$29)*(500/Parameters!$B$30))</f>
        <v>1379066.6666666665</v>
      </c>
      <c r="G20" s="26"/>
      <c r="H20" s="26"/>
      <c r="I20" s="26"/>
      <c r="J20" s="26"/>
    </row>
    <row r="21" spans="1:10" ht="12.75">
      <c r="A21" s="64">
        <v>9</v>
      </c>
      <c r="B21" s="29">
        <v>4404</v>
      </c>
      <c r="C21" s="29">
        <v>4177</v>
      </c>
      <c r="D21" s="29">
        <v>4329</v>
      </c>
      <c r="E21" s="35">
        <f>IF(Parameters!$B$33="Yes",AVERAGE(G21:J21),AVERAGE(B21:D21))</f>
        <v>4303.333333333333</v>
      </c>
      <c r="F21" s="35">
        <f>IF(Parameters!$B$33="Yes",E21*10000,(E21-Parameters!$B$31)*Parameters!$B$32*(100/Parameters!$B$29)*(500/Parameters!$B$30))</f>
        <v>1716133.3333333333</v>
      </c>
      <c r="G21" s="26"/>
      <c r="H21" s="26"/>
      <c r="I21" s="26"/>
      <c r="J21" s="26"/>
    </row>
    <row r="22" spans="1:10" ht="12.75">
      <c r="A22" s="64">
        <v>10</v>
      </c>
      <c r="B22" s="29">
        <v>3908</v>
      </c>
      <c r="C22" s="29">
        <v>3857</v>
      </c>
      <c r="D22" s="29"/>
      <c r="E22" s="35">
        <f>IF(Parameters!$B$33="Yes",AVERAGE(G22:J22),AVERAGE(B22:D22))</f>
        <v>3882.5</v>
      </c>
      <c r="F22" s="35">
        <f>IF(Parameters!$B$33="Yes",E22*10000,(E22-Parameters!$B$31)*Parameters!$B$32*(100/Parameters!$B$29)*(500/Parameters!$B$30))</f>
        <v>1547800</v>
      </c>
      <c r="G22" s="26"/>
      <c r="H22" s="26"/>
      <c r="I22" s="26"/>
      <c r="J22" s="26"/>
    </row>
    <row r="29" spans="1:10" ht="12.75">
      <c r="A29" s="64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5">
        <v>1</v>
      </c>
      <c r="B35" s="26">
        <v>200</v>
      </c>
      <c r="C35" s="34">
        <f>F13/(10000*200/B35)</f>
        <v>196.42666666666668</v>
      </c>
      <c r="D35" s="28">
        <v>78</v>
      </c>
      <c r="E35" s="28">
        <v>91</v>
      </c>
      <c r="F35" s="28">
        <v>74</v>
      </c>
      <c r="G35" s="34">
        <f>AVERAGE(D35:F36)</f>
        <v>72.33333333333333</v>
      </c>
      <c r="H35" s="44">
        <f>G35/AVERAGE($C$35,$C$36)*100</f>
        <v>39.54369852030031</v>
      </c>
      <c r="I35" s="61">
        <f>G35*200/B35/$G$35</f>
        <v>1</v>
      </c>
      <c r="J35" s="60">
        <f>(G35/AVERAGE(C35:C36))/($G$35/AVERAGE($C$35,$C$36))</f>
        <v>1</v>
      </c>
    </row>
    <row r="36" spans="1:10" ht="12.75">
      <c r="A36" s="65">
        <v>2</v>
      </c>
      <c r="B36" s="26">
        <v>200</v>
      </c>
      <c r="C36" s="34">
        <f aca="true" t="shared" si="0" ref="C36:C44">F14/(10000*200/B36)</f>
        <v>169.41333333333333</v>
      </c>
      <c r="D36" s="28">
        <v>59</v>
      </c>
      <c r="E36" s="28">
        <v>67</v>
      </c>
      <c r="F36" s="28">
        <v>65</v>
      </c>
      <c r="G36" s="34"/>
      <c r="H36" s="44"/>
      <c r="I36" s="45"/>
      <c r="J36" s="37"/>
    </row>
    <row r="37" spans="1:10" ht="12.75">
      <c r="A37" s="64">
        <v>3</v>
      </c>
      <c r="B37" s="26">
        <v>200</v>
      </c>
      <c r="C37" s="35">
        <f t="shared" si="0"/>
        <v>197.28</v>
      </c>
      <c r="D37" s="29">
        <v>62</v>
      </c>
      <c r="E37" s="29">
        <v>60</v>
      </c>
      <c r="F37" s="29">
        <v>66</v>
      </c>
      <c r="G37" s="35">
        <f aca="true" t="shared" si="1" ref="G37:G44">AVERAGE(D37:F37)</f>
        <v>62.666666666666664</v>
      </c>
      <c r="H37" s="46">
        <f aca="true" t="shared" si="2" ref="H37:H44">G37/C37*100</f>
        <v>31.765341984320084</v>
      </c>
      <c r="I37" s="37">
        <f aca="true" t="shared" si="3" ref="I37:I44">G37*200/B37/$G$35</f>
        <v>0.8663594470046082</v>
      </c>
      <c r="J37" s="37">
        <f>(G37/C37)/($G$35/AVERAGE($C$35,$C$36))</f>
        <v>0.8032971920421885</v>
      </c>
    </row>
    <row r="38" spans="1:10" ht="12.75">
      <c r="A38" s="64">
        <v>4</v>
      </c>
      <c r="B38" s="26">
        <v>200</v>
      </c>
      <c r="C38" s="35">
        <f t="shared" si="0"/>
        <v>190.02666666666667</v>
      </c>
      <c r="D38" s="29">
        <v>42</v>
      </c>
      <c r="E38" s="29">
        <v>52</v>
      </c>
      <c r="F38" s="29">
        <v>35</v>
      </c>
      <c r="G38" s="35">
        <f t="shared" si="1"/>
        <v>43</v>
      </c>
      <c r="H38" s="46">
        <f t="shared" si="2"/>
        <v>22.62840303115352</v>
      </c>
      <c r="I38" s="37">
        <f t="shared" si="3"/>
        <v>0.5944700460829494</v>
      </c>
      <c r="J38" s="37">
        <f aca="true" t="shared" si="4" ref="J38:J44">(G38/C38)/($G$35/AVERAGE($C$35,$C$36))</f>
        <v>0.5722379008007284</v>
      </c>
    </row>
    <row r="39" spans="1:10" ht="12.75">
      <c r="A39" s="64">
        <v>5</v>
      </c>
      <c r="B39" s="26">
        <v>200</v>
      </c>
      <c r="C39" s="35">
        <f t="shared" si="0"/>
        <v>176.04</v>
      </c>
      <c r="D39" s="29">
        <v>72</v>
      </c>
      <c r="E39" s="29">
        <v>68</v>
      </c>
      <c r="F39" s="29">
        <v>72</v>
      </c>
      <c r="G39" s="35">
        <f t="shared" si="1"/>
        <v>70.66666666666667</v>
      </c>
      <c r="H39" s="46">
        <f t="shared" si="2"/>
        <v>40.14239188063319</v>
      </c>
      <c r="I39" s="37">
        <f t="shared" si="3"/>
        <v>0.9769585253456222</v>
      </c>
      <c r="J39" s="37">
        <f t="shared" si="4"/>
        <v>1.015140044627478</v>
      </c>
    </row>
    <row r="40" spans="1:10" ht="12.75">
      <c r="A40" s="64">
        <v>6</v>
      </c>
      <c r="B40" s="26">
        <v>200</v>
      </c>
      <c r="C40" s="35">
        <f t="shared" si="0"/>
        <v>153.98666666666665</v>
      </c>
      <c r="D40" s="29">
        <v>36</v>
      </c>
      <c r="E40" s="29">
        <v>41</v>
      </c>
      <c r="F40" s="29">
        <v>35</v>
      </c>
      <c r="G40" s="35">
        <f t="shared" si="1"/>
        <v>37.333333333333336</v>
      </c>
      <c r="H40" s="46">
        <f t="shared" si="2"/>
        <v>24.244523335353716</v>
      </c>
      <c r="I40" s="37">
        <f t="shared" si="3"/>
        <v>0.5161290322580646</v>
      </c>
      <c r="J40" s="37">
        <f t="shared" si="4"/>
        <v>0.6131071255994796</v>
      </c>
    </row>
    <row r="41" spans="1:10" ht="12.75">
      <c r="A41" s="64">
        <v>7</v>
      </c>
      <c r="B41" s="26">
        <v>200</v>
      </c>
      <c r="C41" s="35">
        <f t="shared" si="0"/>
        <v>174.58666666666667</v>
      </c>
      <c r="D41" s="29">
        <v>35</v>
      </c>
      <c r="E41" s="29">
        <v>36</v>
      </c>
      <c r="F41" s="29">
        <v>27</v>
      </c>
      <c r="G41" s="35">
        <f t="shared" si="1"/>
        <v>32.666666666666664</v>
      </c>
      <c r="H41" s="46">
        <f t="shared" si="2"/>
        <v>18.71085993584848</v>
      </c>
      <c r="I41" s="37">
        <f t="shared" si="3"/>
        <v>0.45161290322580644</v>
      </c>
      <c r="J41" s="37">
        <f t="shared" si="4"/>
        <v>0.47316919347447983</v>
      </c>
    </row>
    <row r="42" spans="1:10" ht="12.75">
      <c r="A42" s="64">
        <v>8</v>
      </c>
      <c r="B42" s="26">
        <v>200</v>
      </c>
      <c r="C42" s="35">
        <f t="shared" si="0"/>
        <v>137.90666666666664</v>
      </c>
      <c r="D42" s="29">
        <v>47</v>
      </c>
      <c r="E42" s="29">
        <v>41</v>
      </c>
      <c r="F42" s="29"/>
      <c r="G42" s="35">
        <f t="shared" si="1"/>
        <v>44</v>
      </c>
      <c r="H42" s="46">
        <f t="shared" si="2"/>
        <v>31.905636662477043</v>
      </c>
      <c r="I42" s="37">
        <f t="shared" si="3"/>
        <v>0.6082949308755761</v>
      </c>
      <c r="J42" s="37">
        <f t="shared" si="4"/>
        <v>0.8068450311014242</v>
      </c>
    </row>
    <row r="43" spans="1:10" ht="12.75">
      <c r="A43" s="64">
        <v>9</v>
      </c>
      <c r="B43" s="26">
        <v>200</v>
      </c>
      <c r="C43" s="35">
        <f t="shared" si="0"/>
        <v>171.61333333333332</v>
      </c>
      <c r="D43" s="29">
        <v>73</v>
      </c>
      <c r="E43" s="29">
        <v>69</v>
      </c>
      <c r="F43" s="29">
        <v>55</v>
      </c>
      <c r="G43" s="35">
        <f t="shared" si="1"/>
        <v>65.66666666666667</v>
      </c>
      <c r="H43" s="46">
        <f t="shared" si="2"/>
        <v>38.26431512702976</v>
      </c>
      <c r="I43" s="37">
        <f t="shared" si="3"/>
        <v>0.9078341013824887</v>
      </c>
      <c r="J43" s="37">
        <f t="shared" si="4"/>
        <v>0.9676463395902699</v>
      </c>
    </row>
    <row r="44" spans="1:10" ht="12.75">
      <c r="A44" s="64">
        <v>10</v>
      </c>
      <c r="B44" s="26">
        <v>200</v>
      </c>
      <c r="C44" s="35">
        <f t="shared" si="0"/>
        <v>154.78</v>
      </c>
      <c r="D44" s="29">
        <v>37</v>
      </c>
      <c r="E44" s="29">
        <v>37</v>
      </c>
      <c r="F44" s="29">
        <v>25</v>
      </c>
      <c r="G44" s="35">
        <f t="shared" si="1"/>
        <v>33</v>
      </c>
      <c r="H44" s="46">
        <f t="shared" si="2"/>
        <v>21.32058405478744</v>
      </c>
      <c r="I44" s="37">
        <f t="shared" si="3"/>
        <v>0.45622119815668205</v>
      </c>
      <c r="J44" s="37">
        <f t="shared" si="4"/>
        <v>0.5391651477375649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C19">
      <selection activeCell="D13" sqref="D13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37077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60">
        <f>CoulterSurvival!I35</f>
        <v>1</v>
      </c>
      <c r="E13" s="60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60"/>
      <c r="E14" s="60"/>
    </row>
    <row r="15" spans="1:5" ht="12.75">
      <c r="A15" s="20">
        <v>3</v>
      </c>
      <c r="B15" s="46">
        <f>MediumActivity!J15</f>
        <v>198.4229415645994</v>
      </c>
      <c r="C15" s="46">
        <f>CellSuspension!J15/(CoulterSurvival!F15*Parameters!$B$14)*1000000</f>
        <v>1.829401473536068</v>
      </c>
      <c r="D15" s="37">
        <f>CoulterSurvival!I37</f>
        <v>0.8663594470046082</v>
      </c>
      <c r="E15" s="37">
        <f>CoulterSurvival!J37</f>
        <v>0.8032971920421885</v>
      </c>
    </row>
    <row r="16" spans="1:5" ht="12.75">
      <c r="A16" s="20">
        <v>4</v>
      </c>
      <c r="B16" s="46">
        <f>MediumActivity!J16</f>
        <v>404.5919075075893</v>
      </c>
      <c r="C16" s="46">
        <f>CellSuspension!J16/(CoulterSurvival!F16*Parameters!$B$14)*1000000</f>
        <v>5.59400690717243</v>
      </c>
      <c r="D16" s="37">
        <f>CoulterSurvival!I38</f>
        <v>0.5944700460829494</v>
      </c>
      <c r="E16" s="37">
        <f>CoulterSurvival!J38</f>
        <v>0.5722379008007284</v>
      </c>
    </row>
    <row r="17" spans="1:5" ht="12.75">
      <c r="A17" s="20">
        <v>5</v>
      </c>
      <c r="B17" s="46">
        <f>MediumActivity!J17</f>
        <v>609.1345575400552</v>
      </c>
      <c r="C17" s="46">
        <f>CellSuspension!J17/(CoulterSurvival!F17*Parameters!$B$14)*1000000</f>
        <v>8.009212570020528</v>
      </c>
      <c r="D17" s="37">
        <f>CoulterSurvival!I39</f>
        <v>0.9769585253456222</v>
      </c>
      <c r="E17" s="37">
        <f>CoulterSurvival!J39</f>
        <v>1.015140044627478</v>
      </c>
    </row>
    <row r="18" spans="1:5" ht="12.75">
      <c r="A18" s="20">
        <v>6</v>
      </c>
      <c r="B18" s="46">
        <f>MediumActivity!J18</f>
        <v>792.182185907095</v>
      </c>
      <c r="C18" s="46">
        <f>CellSuspension!J18/(CoulterSurvival!F18*Parameters!$B$14)*1000000</f>
        <v>12.057330941283219</v>
      </c>
      <c r="D18" s="37">
        <f>CoulterSurvival!I40</f>
        <v>0.5161290322580646</v>
      </c>
      <c r="E18" s="37">
        <f>CoulterSurvival!J40</f>
        <v>0.6131071255994796</v>
      </c>
    </row>
    <row r="19" spans="1:5" ht="12.75">
      <c r="A19" s="20">
        <v>7</v>
      </c>
      <c r="B19" s="46">
        <f>MediumActivity!J19</f>
        <v>979.281778227192</v>
      </c>
      <c r="C19" s="46">
        <f>CellSuspension!J19/(CoulterSurvival!F19*Parameters!$B$14)*1000000</f>
        <v>21.571121960317257</v>
      </c>
      <c r="D19" s="37">
        <f>CoulterSurvival!I41</f>
        <v>0.45161290322580644</v>
      </c>
      <c r="E19" s="37">
        <f>CoulterSurvival!J41</f>
        <v>0.47316919347447983</v>
      </c>
    </row>
    <row r="20" spans="1:5" ht="12.75">
      <c r="A20" s="20">
        <v>8</v>
      </c>
      <c r="B20" s="46">
        <f>MediumActivity!J20</f>
        <v>1225.3671787109772</v>
      </c>
      <c r="C20" s="46">
        <f>CellSuspension!J20/(CoulterSurvival!F20*Parameters!$B$14)*1000000</f>
        <v>36.67856722248018</v>
      </c>
      <c r="D20" s="37">
        <f>CoulterSurvival!I42</f>
        <v>0.6082949308755761</v>
      </c>
      <c r="E20" s="37">
        <f>CoulterSurvival!J42</f>
        <v>0.8068450311014242</v>
      </c>
    </row>
    <row r="21" spans="1:5" ht="12.75">
      <c r="A21" s="20">
        <v>9</v>
      </c>
      <c r="B21" s="46">
        <f>MediumActivity!J21</f>
        <v>1381.0277041584943</v>
      </c>
      <c r="C21" s="46">
        <f>CellSuspension!J21/(CoulterSurvival!F21*Parameters!$B$14)*1000000</f>
        <v>17.625030185228614</v>
      </c>
      <c r="D21" s="37">
        <f>CoulterSurvival!I43</f>
        <v>0.9078341013824887</v>
      </c>
      <c r="E21" s="37">
        <f>CoulterSurvival!J43</f>
        <v>0.9676463395902699</v>
      </c>
    </row>
    <row r="22" spans="1:5" ht="12.75">
      <c r="A22" s="20">
        <v>10</v>
      </c>
      <c r="B22" s="46">
        <f>MediumActivity!J22</f>
        <v>1529.8408837390893</v>
      </c>
      <c r="C22" s="46">
        <f>CellSuspension!J22/(CoulterSurvival!F22*Parameters!$B$14)*1000000</f>
        <v>40.92551137070011</v>
      </c>
      <c r="D22" s="37">
        <f>CoulterSurvival!I44</f>
        <v>0.45622119815668205</v>
      </c>
      <c r="E22" s="37">
        <f>CoulterSurvival!J44</f>
        <v>0.5391651477375649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D1">
      <selection activeCell="E20" sqref="E20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37077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60">
        <f>CoulterSurvival!I35</f>
        <v>1</v>
      </c>
      <c r="E13" s="60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60"/>
      <c r="E14" s="60"/>
    </row>
    <row r="15" spans="1:5" ht="12.75">
      <c r="A15" s="20">
        <v>3</v>
      </c>
      <c r="B15" s="46">
        <f>MediumActivity!J15</f>
        <v>198.4229415645994</v>
      </c>
      <c r="C15" s="46">
        <f>CellSuspension!J15/(CoulterSurvival!F15*Parameters!$B$14)*1000000</f>
        <v>1.829401473536068</v>
      </c>
      <c r="D15" s="37">
        <f>CoulterSurvival!I37</f>
        <v>0.8663594470046082</v>
      </c>
      <c r="E15" s="37">
        <f>CoulterSurvival!J37</f>
        <v>0.8032971920421885</v>
      </c>
    </row>
    <row r="16" spans="1:5" ht="12.75">
      <c r="A16" s="20">
        <v>4</v>
      </c>
      <c r="B16" s="46">
        <f>MediumActivity!J16</f>
        <v>404.5919075075893</v>
      </c>
      <c r="C16" s="46">
        <f>CellSuspension!J16/(CoulterSurvival!F16*Parameters!$B$14)*1000000</f>
        <v>5.59400690717243</v>
      </c>
      <c r="D16" s="37">
        <f>CoulterSurvival!I38</f>
        <v>0.5944700460829494</v>
      </c>
      <c r="E16" s="37">
        <f>CoulterSurvival!J38</f>
        <v>0.5722379008007284</v>
      </c>
    </row>
    <row r="17" spans="1:5" ht="12.75">
      <c r="A17" s="20">
        <v>5</v>
      </c>
      <c r="B17" s="46">
        <f>MediumActivity!J17</f>
        <v>609.1345575400552</v>
      </c>
      <c r="C17" s="46">
        <f>CellSuspension!J17/(CoulterSurvival!F17*Parameters!$B$14)*1000000</f>
        <v>8.009212570020528</v>
      </c>
      <c r="D17" s="37">
        <f>CoulterSurvival!I39</f>
        <v>0.9769585253456222</v>
      </c>
      <c r="E17" s="37">
        <f>CoulterSurvival!J39</f>
        <v>1.015140044627478</v>
      </c>
    </row>
    <row r="18" spans="1:5" ht="12.75">
      <c r="A18" s="20">
        <v>6</v>
      </c>
      <c r="B18" s="46">
        <f>MediumActivity!J18</f>
        <v>792.182185907095</v>
      </c>
      <c r="C18" s="46">
        <f>CellSuspension!J18/(CoulterSurvival!F18*Parameters!$B$14)*1000000</f>
        <v>12.057330941283219</v>
      </c>
      <c r="D18" s="37">
        <f>CoulterSurvival!I40</f>
        <v>0.5161290322580646</v>
      </c>
      <c r="E18" s="37">
        <f>CoulterSurvival!J40</f>
        <v>0.6131071255994796</v>
      </c>
    </row>
    <row r="19" spans="1:5" ht="12.75">
      <c r="A19" s="20">
        <v>7</v>
      </c>
      <c r="B19" s="46">
        <f>MediumActivity!J19</f>
        <v>979.281778227192</v>
      </c>
      <c r="C19" s="46">
        <f>CellSuspension!J19/(CoulterSurvival!F19*Parameters!$B$14)*1000000</f>
        <v>21.571121960317257</v>
      </c>
      <c r="D19" s="37">
        <f>CoulterSurvival!I41</f>
        <v>0.45161290322580644</v>
      </c>
      <c r="E19" s="37">
        <f>CoulterSurvival!J41</f>
        <v>0.47316919347447983</v>
      </c>
    </row>
    <row r="20" spans="1:5" ht="12.75">
      <c r="A20" s="20">
        <v>8</v>
      </c>
      <c r="B20" s="46">
        <f>MediumActivity!J20</f>
        <v>1225.3671787109772</v>
      </c>
      <c r="C20" s="46">
        <f>CellSuspension!J20/(CoulterSurvival!F20*Parameters!$B$14)*1000000</f>
        <v>36.67856722248018</v>
      </c>
      <c r="D20" s="37">
        <f>CoulterSurvival!I42</f>
        <v>0.6082949308755761</v>
      </c>
      <c r="E20" s="37">
        <f>CoulterSurvival!J42</f>
        <v>0.8068450311014242</v>
      </c>
    </row>
    <row r="21" spans="1:5" ht="12.75">
      <c r="A21" s="20">
        <v>9</v>
      </c>
      <c r="B21" s="46">
        <f>MediumActivity!J21</f>
        <v>1381.0277041584943</v>
      </c>
      <c r="C21" s="46">
        <f>CellSuspension!J21/(CoulterSurvival!F21*Parameters!$B$14)*1000000</f>
        <v>17.625030185228614</v>
      </c>
      <c r="D21" s="37">
        <f>CoulterSurvival!I43</f>
        <v>0.9078341013824887</v>
      </c>
      <c r="E21" s="37">
        <f>CoulterSurvival!J43</f>
        <v>0.9676463395902699</v>
      </c>
    </row>
    <row r="22" spans="1:5" ht="12.75">
      <c r="A22" s="20">
        <v>10</v>
      </c>
      <c r="B22" s="46">
        <f>MediumActivity!J22</f>
        <v>1529.8408837390893</v>
      </c>
      <c r="C22" s="46">
        <f>CellSuspension!J22/(CoulterSurvival!F22*Parameters!$B$14)*1000000</f>
        <v>40.92551137070011</v>
      </c>
      <c r="D22" s="37">
        <f>CoulterSurvival!I44</f>
        <v>0.45622119815668205</v>
      </c>
      <c r="E22" s="37">
        <f>CoulterSurvival!J44</f>
        <v>0.5391651477375649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2000-12-08T19:28:39Z</cp:lastPrinted>
  <dcterms:created xsi:type="dcterms:W3CDTF">2000-10-11T19:44:58Z</dcterms:created>
  <dcterms:modified xsi:type="dcterms:W3CDTF">2001-07-18T15:00:24Z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