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tabRatio="727" firstSheet="2" activeTab="5"/>
  </bookViews>
  <sheets>
    <sheet name="Parameters" sheetId="1" r:id="rId1"/>
    <sheet name="MediumActivity" sheetId="2" r:id="rId2"/>
    <sheet name="CellSuspension" sheetId="3" r:id="rId3"/>
    <sheet name="CoulterSurvival" sheetId="4" r:id="rId4"/>
    <sheet name="Summary" sheetId="5" r:id="rId5"/>
    <sheet name="Unprotected Summary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<sst xmlns="http://schemas.openxmlformats.org/spreadsheetml/2006/main" count="178" uniqueCount="103">
  <si>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</si>
  <si>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</si>
  <si>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</si>
  <si>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</si>
  <si>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</si>
  <si>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</si>
  <si>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</si>
  <si>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</si>
  <si>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</si>
  <si>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</si>
  <si>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</si>
  <si>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</si>
  <si>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</si>
  <si>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</si>
  <si>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</si>
  <si>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</si>
  <si>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</si>
  <si>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</si>
  <si>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</si>
  <si>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</si>
  <si>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</si>
  <si>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</si>
  <si>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</si>
  <si>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</si>
  <si>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</si>
  <si>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</si>
  <si>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</si>
  <si>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</si>
  <si>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</si>
  <si>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</si>
  <si>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</si>
  <si>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</si>
  <si>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</si>
  <si>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</si>
  <si>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</si>
  <si>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</si>
  <si>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</si>
  <si>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</si>
  <si>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</si>
  <si>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</si>
  <si>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</si>
  <si>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</si>
  <si>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</si>
  <si>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</si>
  <si>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</si>
  <si>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</si>
  <si>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</si>
  <si>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</si>
  <si>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</si>
  <si>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</si>
  <si>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</si>
  <si>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</si>
  <si>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</si>
  <si>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</si>
  <si>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</si>
  <si>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</si>
  <si>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</si>
  <si>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</si>
  <si>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</si>
  <si>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</si>
  <si>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</si>
  <si>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</si>
  <si>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</si>
  <si>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</si>
  <si>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</si>
  <si>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</si>
  <si>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</si>
  <si>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</si>
  <si>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</si>
  <si>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</si>
  <si>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</si>
  <si>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</si>
  <si>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</si>
  <si>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</si>
  <si>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</si>
  <si>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</si>
  <si>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</si>
  <si>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</si>
  <si>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</si>
  <si>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</si>
  <si>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</si>
  <si>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</si>
  <si>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</si>
  <si>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</si>
  <si>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</si>
  <si>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</si>
  <si>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</si>
  <si>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</si>
  <si>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</si>
  <si>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Time Elapsed Since Original Calibration (d)</t>
  </si>
  <si>
    <t>Apr. 2, 2001</t>
  </si>
  <si>
    <t>M.Lenarczyk</t>
  </si>
  <si>
    <t>V-79</t>
  </si>
  <si>
    <t>none</t>
  </si>
  <si>
    <t>N/A</t>
  </si>
  <si>
    <t>Dose</t>
  </si>
  <si>
    <t>(Gy)</t>
  </si>
  <si>
    <t>Cs-137</t>
  </si>
  <si>
    <t>Sample</t>
  </si>
  <si>
    <t>1(control)</t>
  </si>
  <si>
    <t>2 (control)</t>
  </si>
  <si>
    <t>V-79, Cs-137 acute, 100% cluster</t>
  </si>
  <si>
    <t>(corrected)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</si>
</sst>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/d/yyyy"/>
    <numFmt numFmtId="179" formatCode="mm/dd/yy"/>
    <numFmt numFmtId="180" formatCode="0_);[Red]\(0\)"/>
    <numFmt numFmtId="181" formatCode="0.E+00"/>
  </numFmts>
  <fonts count="22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2"/>
    </font>
    <font>
      <b/>
      <sz val="9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8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8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/>
            </c:numRef>
          </c:xVal>
          <c:yVal>
            <c:numRef>
              <c:f>Summary!$D$13:$D$22</c:f>
              <c:numCache/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/>
            </c:numRef>
          </c:xVal>
          <c:yVal>
            <c:numRef>
              <c:f>Summary!$E$13:$E$22</c:f>
              <c:numCache/>
            </c:numRef>
          </c:yVal>
          <c:smooth val="0"/>
        </c:ser>
        <c:axId val="51488496"/>
        <c:axId val="60743281"/>
      </c:scatterChart>
      <c:valAx>
        <c:axId val="51488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43281"/>
        <c:crossesAt val="0.001"/>
        <c:crossBetween val="midCat"/>
        <c:dispUnits/>
      </c:valAx>
      <c:valAx>
        <c:axId val="6074328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884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0.11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01"/>
          <c:w val="0.8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/>
            </c:numRef>
          </c:xVal>
          <c:yVal>
            <c:numRef>
              <c:f>Summary!$C$13:$C$22</c:f>
              <c:numCache/>
            </c:numRef>
          </c:yVal>
          <c:smooth val="0"/>
        </c:ser>
        <c:axId val="9818618"/>
        <c:axId val="21258699"/>
      </c:scatterChart>
      <c:valAx>
        <c:axId val="9818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58699"/>
        <c:crosses val="autoZero"/>
        <c:crossBetween val="midCat"/>
        <c:dispUnits/>
      </c:valAx>
      <c:valAx>
        <c:axId val="21258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186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55"/>
          <c:w val="0.8642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'Unprotected Summary'!$C$28:$C$36</c:f>
              <c:numCache/>
            </c:numRef>
          </c:xVal>
          <c:yVal>
            <c:numRef>
              <c:f>'Unprotected Summary'!$D$28:$D$36</c:f>
              <c:numCache/>
            </c:numRef>
          </c:yVal>
          <c:smooth val="0"/>
        </c:ser>
        <c:axId val="57110564"/>
        <c:axId val="44233029"/>
      </c:scatterChart>
      <c:valAx>
        <c:axId val="57110564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Dose (cGy/cell)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33029"/>
        <c:crossesAt val="0.001"/>
        <c:crossBetween val="midCat"/>
        <c:dispUnits/>
        <c:majorUnit val="3"/>
      </c:valAx>
      <c:valAx>
        <c:axId val="44233029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110564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"/>
          <c:y val="0.66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62552942"/>
        <c:axId val="26105567"/>
      </c:scatterChart>
      <c:valAx>
        <c:axId val="62552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6105567"/>
        <c:crosses val="autoZero"/>
        <c:crossBetween val="midCat"/>
        <c:dispUnits/>
      </c:valAx>
      <c:valAx>
        <c:axId val="26105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625529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Survival of V79 cells after Cs-137 irradiation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11525"/>
          <c:w val="0.7565"/>
          <c:h val="0.8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0"/>
            <c:dispRSqr val="0"/>
          </c:trendline>
          <c:xVal>
            <c:numRef>
              <c:f>Sheet1!$B$4:$B$12</c:f>
              <c:numCache/>
            </c:numRef>
          </c:xVal>
          <c:yVal>
            <c:numRef>
              <c:f>Sheet1!$C$4:$C$12</c:f>
              <c:numCache/>
            </c:numRef>
          </c:yVal>
          <c:smooth val="0"/>
        </c:ser>
        <c:axId val="33623512"/>
        <c:axId val="34176153"/>
      </c:scatterChart>
      <c:valAx>
        <c:axId val="33623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Dose (Gy)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76153"/>
        <c:crossesAt val="0.1"/>
        <c:crossBetween val="midCat"/>
        <c:dispUnits/>
      </c:valAx>
      <c:valAx>
        <c:axId val="3417615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235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Survival of V79 cells after Cs-137 irradiation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77"/>
          <c:w val="0.7575"/>
          <c:h val="0.802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Sheet1!$B$15:$B$23</c:f>
              <c:numCache/>
            </c:numRef>
          </c:xVal>
          <c:yVal>
            <c:numRef>
              <c:f>Sheet1!$C$15:$C$23</c:f>
              <c:numCache/>
            </c:numRef>
          </c:yVal>
          <c:smooth val="0"/>
        </c:ser>
        <c:axId val="39149922"/>
        <c:axId val="16804979"/>
      </c:scatterChart>
      <c:valAx>
        <c:axId val="39149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Dose (Gy)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04979"/>
        <c:crossesAt val="0.1"/>
        <c:crossBetween val="midCat"/>
        <c:dispUnits/>
      </c:valAx>
      <c:valAx>
        <c:axId val="1680497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49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12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943350" y="19050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38100</xdr:rowOff>
    </xdr:from>
    <xdr:to>
      <xdr:col>12</xdr:col>
      <xdr:colOff>600075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3971925" y="2952750"/>
        <a:ext cx="4248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19050</xdr:rowOff>
    </xdr:from>
    <xdr:to>
      <xdr:col>11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800475" y="1905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18</xdr:row>
      <xdr:rowOff>114300</xdr:rowOff>
    </xdr:from>
    <xdr:to>
      <xdr:col>11</xdr:col>
      <xdr:colOff>542925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00475" y="3028950"/>
        <a:ext cx="3819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9</xdr:col>
      <xdr:colOff>514350</xdr:colOff>
      <xdr:row>12</xdr:row>
      <xdr:rowOff>123825</xdr:rowOff>
    </xdr:to>
    <xdr:graphicFrame>
      <xdr:nvGraphicFramePr>
        <xdr:cNvPr id="1" name="Chart 1"/>
        <xdr:cNvGraphicFramePr/>
      </xdr:nvGraphicFramePr>
      <xdr:xfrm>
        <a:off x="2438400" y="161925"/>
        <a:ext cx="35623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14</xdr:row>
      <xdr:rowOff>0</xdr:rowOff>
    </xdr:from>
    <xdr:to>
      <xdr:col>9</xdr:col>
      <xdr:colOff>523875</xdr:colOff>
      <xdr:row>25</xdr:row>
      <xdr:rowOff>133350</xdr:rowOff>
    </xdr:to>
    <xdr:graphicFrame>
      <xdr:nvGraphicFramePr>
        <xdr:cNvPr id="2" name="Chart 2"/>
        <xdr:cNvGraphicFramePr/>
      </xdr:nvGraphicFramePr>
      <xdr:xfrm>
        <a:off x="2438400" y="2266950"/>
        <a:ext cx="35718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6">
      <selection activeCell="B26" sqref="B26"/>
    </sheetView>
  </sheetViews>
  <sheetFormatPr defaultColWidth="9.140625" defaultRowHeight="12.75"/>
  <cols>
    <col min="1" max="1" width="36.8515625" style="24" customWidth="1"/>
    <col min="2" max="2" width="20.00390625" style="22" customWidth="1"/>
    <col min="3" max="3" width="36.8515625" style="0" customWidth="1"/>
    <col min="4" max="4" width="9.57421875" style="0" bestFit="1" customWidth="1"/>
  </cols>
  <sheetData>
    <row r="1" spans="1:2" ht="12.75">
      <c r="A1" s="24" t="s">
        <v>20</v>
      </c>
      <c r="B1" s="48" t="s">
        <v>90</v>
      </c>
    </row>
    <row r="2" ht="12.75">
      <c r="B2" s="61"/>
    </row>
    <row r="3" spans="1:2" ht="12.75">
      <c r="A3" s="24" t="s">
        <v>15</v>
      </c>
      <c r="B3" s="49" t="s">
        <v>101</v>
      </c>
    </row>
    <row r="4" spans="1:3" ht="12.75">
      <c r="A4" s="24" t="s">
        <v>16</v>
      </c>
      <c r="B4" s="50" t="s">
        <v>91</v>
      </c>
      <c r="C4" s="20"/>
    </row>
    <row r="5" spans="1:2" ht="12.75">
      <c r="A5" s="24" t="s">
        <v>17</v>
      </c>
      <c r="B5" s="50" t="s">
        <v>92</v>
      </c>
    </row>
    <row r="6" spans="1:2" ht="12.75">
      <c r="A6" s="24" t="s">
        <v>81</v>
      </c>
      <c r="B6" s="50" t="s">
        <v>93</v>
      </c>
    </row>
    <row r="7" spans="1:2" ht="12.75">
      <c r="A7" s="24" t="s">
        <v>21</v>
      </c>
      <c r="B7" s="50" t="s">
        <v>93</v>
      </c>
    </row>
    <row r="8" spans="1:3" ht="12.75">
      <c r="A8" s="24" t="s">
        <v>22</v>
      </c>
      <c r="B8" s="50" t="s">
        <v>94</v>
      </c>
      <c r="C8" s="20" t="s">
        <v>72</v>
      </c>
    </row>
    <row r="9" spans="1:3" ht="12.75">
      <c r="A9" s="24" t="s">
        <v>39</v>
      </c>
      <c r="B9" s="50" t="s">
        <v>94</v>
      </c>
      <c r="C9" s="20" t="s">
        <v>73</v>
      </c>
    </row>
    <row r="10" spans="1:2" ht="12.75">
      <c r="A10" s="24" t="s">
        <v>18</v>
      </c>
      <c r="B10" s="50" t="s">
        <v>94</v>
      </c>
    </row>
    <row r="11" spans="1:2" ht="12.75">
      <c r="A11" s="24" t="s">
        <v>19</v>
      </c>
      <c r="B11" s="50" t="s">
        <v>94</v>
      </c>
    </row>
    <row r="12" spans="1:4" ht="12.75">
      <c r="A12" s="24" t="s">
        <v>27</v>
      </c>
      <c r="B12" s="50" t="s">
        <v>94</v>
      </c>
      <c r="C12" s="20" t="s">
        <v>25</v>
      </c>
      <c r="D12" s="56" t="s">
        <v>94</v>
      </c>
    </row>
    <row r="13" spans="1:4" ht="12.75">
      <c r="A13" s="24" t="s">
        <v>28</v>
      </c>
      <c r="B13" s="50" t="s">
        <v>94</v>
      </c>
      <c r="C13" s="20" t="s">
        <v>89</v>
      </c>
      <c r="D13" s="57" t="s">
        <v>94</v>
      </c>
    </row>
    <row r="14" spans="1:4" ht="12.75">
      <c r="A14" s="24" t="s">
        <v>83</v>
      </c>
      <c r="B14" s="51">
        <v>1</v>
      </c>
      <c r="C14" s="20" t="s">
        <v>26</v>
      </c>
      <c r="D14" s="47" t="e">
        <f>$D$12*EXP(-0.693*$D$13/($B$8))</f>
        <v>#VALUE!</v>
      </c>
    </row>
    <row r="15" ht="12.75">
      <c r="B15" s="61"/>
    </row>
    <row r="16" spans="1:2" ht="12.75">
      <c r="A16" s="24" t="s">
        <v>35</v>
      </c>
      <c r="B16" s="49" t="s">
        <v>94</v>
      </c>
    </row>
    <row r="17" spans="1:2" ht="12.75">
      <c r="A17" s="24" t="s">
        <v>62</v>
      </c>
      <c r="B17" s="50" t="s">
        <v>94</v>
      </c>
    </row>
    <row r="18" spans="1:2" ht="12.75">
      <c r="A18" s="24" t="s">
        <v>38</v>
      </c>
      <c r="B18" s="50" t="s">
        <v>94</v>
      </c>
    </row>
    <row r="19" spans="1:2" ht="12.75">
      <c r="A19" s="24" t="s">
        <v>36</v>
      </c>
      <c r="B19" s="50" t="s">
        <v>94</v>
      </c>
    </row>
    <row r="20" spans="1:2" ht="12.75">
      <c r="A20" s="24" t="s">
        <v>37</v>
      </c>
      <c r="B20" s="50" t="s">
        <v>94</v>
      </c>
    </row>
    <row r="21" ht="12.75">
      <c r="B21" s="61"/>
    </row>
    <row r="22" spans="1:2" ht="12.75">
      <c r="A22" s="24" t="s">
        <v>23</v>
      </c>
      <c r="B22" s="50" t="s">
        <v>94</v>
      </c>
    </row>
    <row r="23" spans="1:4" ht="12.75">
      <c r="A23" s="24" t="s">
        <v>24</v>
      </c>
      <c r="B23" s="52">
        <v>36987</v>
      </c>
      <c r="C23" s="20" t="s">
        <v>29</v>
      </c>
      <c r="D23" s="27"/>
    </row>
    <row r="24" spans="1:4" ht="12.75">
      <c r="A24" s="24" t="s">
        <v>69</v>
      </c>
      <c r="B24" s="50" t="s">
        <v>94</v>
      </c>
      <c r="C24" s="20" t="s">
        <v>30</v>
      </c>
      <c r="D24" s="27"/>
    </row>
    <row r="25" spans="1:4" ht="12.75">
      <c r="A25" s="24" t="s">
        <v>70</v>
      </c>
      <c r="B25" s="52" t="s">
        <v>94</v>
      </c>
      <c r="C25" s="20" t="s">
        <v>71</v>
      </c>
      <c r="D25" s="27"/>
    </row>
    <row r="26" spans="1:2" ht="12.75">
      <c r="A26" s="24" t="s">
        <v>58</v>
      </c>
      <c r="B26" s="50" t="s">
        <v>94</v>
      </c>
    </row>
    <row r="27" spans="1:2" ht="12.75">
      <c r="A27" s="24" t="s">
        <v>59</v>
      </c>
      <c r="B27" s="50" t="s">
        <v>94</v>
      </c>
    </row>
    <row r="28" ht="12.75">
      <c r="B28" s="61"/>
    </row>
    <row r="29" spans="1:2" ht="12.75">
      <c r="A29" s="24" t="s">
        <v>60</v>
      </c>
      <c r="B29" s="49">
        <v>100</v>
      </c>
    </row>
    <row r="30" spans="1:5" ht="12.75">
      <c r="A30" s="24" t="s">
        <v>61</v>
      </c>
      <c r="B30" s="51">
        <v>500</v>
      </c>
      <c r="E30" s="20" t="s">
        <v>82</v>
      </c>
    </row>
    <row r="31" spans="1:6" ht="12.75">
      <c r="A31" s="24" t="s">
        <v>31</v>
      </c>
      <c r="B31" s="60">
        <f>AVERAGE(D32:F32)</f>
        <v>13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3">
        <v>13</v>
      </c>
      <c r="E32" s="54">
        <v>13</v>
      </c>
      <c r="F32" s="55">
        <v>13</v>
      </c>
    </row>
    <row r="33" spans="1:2" ht="12.75">
      <c r="A33" s="24" t="s">
        <v>84</v>
      </c>
      <c r="B33" s="64"/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">
      <pane xSplit="11610" topLeftCell="U1" activePane="topLeft" state="split"/>
      <selection pane="topLeft" activeCell="C23" sqref="C23"/>
      <selection pane="topRight" activeCell="X114" sqref="X114:Y126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 t="str">
        <f>Parameters!$B$3</f>
        <v>V-79, Cs-137 acute, 100% cluster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30" t="str">
        <f>Parameters!$B$1</f>
        <v>Apr. 2, 2001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1"/>
      <c r="C7" s="31" t="s">
        <v>40</v>
      </c>
      <c r="D7" s="31"/>
      <c r="E7" s="31" t="s">
        <v>9</v>
      </c>
      <c r="F7" s="31" t="s">
        <v>9</v>
      </c>
      <c r="G7" s="31" t="s">
        <v>6</v>
      </c>
      <c r="H7" s="31" t="s">
        <v>74</v>
      </c>
      <c r="I7" s="31" t="s">
        <v>75</v>
      </c>
      <c r="J7" s="31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1"/>
      <c r="C8" s="31" t="s">
        <v>2</v>
      </c>
      <c r="D8" s="31"/>
      <c r="E8" s="31" t="s">
        <v>8</v>
      </c>
      <c r="F8" s="31" t="s">
        <v>10</v>
      </c>
      <c r="G8" s="31" t="s">
        <v>41</v>
      </c>
      <c r="H8" s="32" t="s">
        <v>76</v>
      </c>
      <c r="I8" s="32" t="s">
        <v>77</v>
      </c>
      <c r="J8" s="31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1" t="s">
        <v>4</v>
      </c>
      <c r="C9" s="31" t="s">
        <v>3</v>
      </c>
      <c r="D9" s="31" t="s">
        <v>5</v>
      </c>
      <c r="E9" s="31"/>
      <c r="F9" s="31" t="s">
        <v>11</v>
      </c>
      <c r="G9" s="31"/>
      <c r="H9" s="31" t="s">
        <v>7</v>
      </c>
      <c r="I9" s="31" t="s">
        <v>42</v>
      </c>
      <c r="J9" s="31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1"/>
      <c r="C10" s="31"/>
      <c r="D10" s="31"/>
      <c r="E10" s="31"/>
      <c r="F10" s="31"/>
      <c r="G10" s="31"/>
      <c r="H10" s="31"/>
      <c r="I10" s="31" t="s">
        <v>43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3">
        <v>1</v>
      </c>
      <c r="B13" s="28">
        <v>0</v>
      </c>
      <c r="C13" s="28">
        <v>0</v>
      </c>
      <c r="D13" s="28">
        <v>0</v>
      </c>
      <c r="E13" s="34">
        <f>AVERAGE(B13:D13,B14:D14)</f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O13" s="2"/>
    </row>
    <row r="14" spans="1:15" ht="12.75">
      <c r="A14" s="33">
        <v>2</v>
      </c>
      <c r="B14" s="28">
        <v>0</v>
      </c>
      <c r="C14" s="28">
        <v>0</v>
      </c>
      <c r="D14" s="28">
        <v>0</v>
      </c>
      <c r="E14" s="34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O14" s="2"/>
    </row>
    <row r="15" spans="1:18" ht="12.75">
      <c r="A15" s="20">
        <v>3</v>
      </c>
      <c r="B15" s="29">
        <v>0</v>
      </c>
      <c r="C15" s="29">
        <v>0</v>
      </c>
      <c r="D15" s="29">
        <v>0</v>
      </c>
      <c r="E15" s="35">
        <f>AVERAGE(B15:D15)</f>
        <v>0</v>
      </c>
      <c r="F15" s="36">
        <f>(E15-E13)</f>
        <v>0</v>
      </c>
      <c r="G15" s="35" t="e">
        <f>F15/(Parameters!$B$9*Parameters!$B$20)</f>
        <v>#VALUE!</v>
      </c>
      <c r="H15" s="37" t="e">
        <f>G15/(37000*60*Parameters!$B$26/1000)</f>
        <v>#VALUE!</v>
      </c>
      <c r="I15" s="37" t="e">
        <f>H15/EXP(-0.693*Parameters!$D$24/(Parameters!$B$8*24))</f>
        <v>#VALUE!</v>
      </c>
      <c r="J15" s="37" t="e">
        <f>I15*37</f>
        <v>#VALUE!</v>
      </c>
      <c r="O15" s="2"/>
      <c r="P15" s="9"/>
      <c r="Q15" s="2"/>
      <c r="R15" s="1"/>
    </row>
    <row r="16" spans="1:18" ht="12.75">
      <c r="A16" s="20">
        <v>4</v>
      </c>
      <c r="B16" s="29">
        <v>0</v>
      </c>
      <c r="C16" s="29">
        <v>0</v>
      </c>
      <c r="D16" s="29">
        <v>0</v>
      </c>
      <c r="E16" s="35">
        <f aca="true" t="shared" si="0" ref="E16:E22">AVERAGE(B16:D16)</f>
        <v>0</v>
      </c>
      <c r="F16" s="36">
        <f>E16-E13</f>
        <v>0</v>
      </c>
      <c r="G16" s="35" t="e">
        <f>F16/(Parameters!$B$9*Parameters!$B$20)</f>
        <v>#VALUE!</v>
      </c>
      <c r="H16" s="37" t="e">
        <f>G16/(37000*60*Parameters!$B$26/1000)</f>
        <v>#VALUE!</v>
      </c>
      <c r="I16" s="37" t="e">
        <f>H16/EXP(-0.693*Parameters!$D$24/(Parameters!$B$8*24))</f>
        <v>#VALUE!</v>
      </c>
      <c r="J16" s="37" t="e">
        <f aca="true" t="shared" si="1" ref="J16:J22">I16*37</f>
        <v>#VALUE!</v>
      </c>
      <c r="O16" s="2"/>
      <c r="P16" s="9"/>
      <c r="Q16" s="2"/>
      <c r="R16" s="1"/>
    </row>
    <row r="17" spans="1:18" ht="12.75">
      <c r="A17" s="20">
        <v>5</v>
      </c>
      <c r="B17" s="29">
        <v>0</v>
      </c>
      <c r="C17" s="29">
        <v>0</v>
      </c>
      <c r="D17" s="29">
        <v>0</v>
      </c>
      <c r="E17" s="35">
        <f t="shared" si="0"/>
        <v>0</v>
      </c>
      <c r="F17" s="36">
        <f>E17-E13</f>
        <v>0</v>
      </c>
      <c r="G17" s="35" t="e">
        <f>F17/(Parameters!$B$9*Parameters!$B$20)</f>
        <v>#VALUE!</v>
      </c>
      <c r="H17" s="37" t="e">
        <f>G17/(37000*60*Parameters!$B$26/1000)</f>
        <v>#VALUE!</v>
      </c>
      <c r="I17" s="37" t="e">
        <f>H17/EXP(-0.693*Parameters!$D$24/(Parameters!$B$8*24))</f>
        <v>#VALUE!</v>
      </c>
      <c r="J17" s="37" t="e">
        <f t="shared" si="1"/>
        <v>#VALUE!</v>
      </c>
      <c r="O17" s="2"/>
      <c r="P17" s="9"/>
      <c r="Q17" s="2"/>
      <c r="R17" s="1"/>
    </row>
    <row r="18" spans="1:18" ht="12.75">
      <c r="A18" s="20">
        <v>6</v>
      </c>
      <c r="B18" s="29">
        <v>0</v>
      </c>
      <c r="C18" s="29">
        <v>0</v>
      </c>
      <c r="D18" s="29">
        <v>0</v>
      </c>
      <c r="E18" s="35">
        <f t="shared" si="0"/>
        <v>0</v>
      </c>
      <c r="F18" s="36">
        <f>E18-E13</f>
        <v>0</v>
      </c>
      <c r="G18" s="35" t="e">
        <f>F18/(Parameters!$B$9*Parameters!$B$20)</f>
        <v>#VALUE!</v>
      </c>
      <c r="H18" s="37" t="e">
        <f>G18/(37000*60*Parameters!$B$26/1000)</f>
        <v>#VALUE!</v>
      </c>
      <c r="I18" s="37" t="e">
        <f>H18/EXP(-0.693*Parameters!$D$24/(Parameters!$B$8*24))</f>
        <v>#VALUE!</v>
      </c>
      <c r="J18" s="37" t="e">
        <f t="shared" si="1"/>
        <v>#VALUE!</v>
      </c>
      <c r="O18" s="2"/>
      <c r="P18" s="9"/>
      <c r="Q18" s="2"/>
      <c r="R18" s="1"/>
    </row>
    <row r="19" spans="1:18" ht="12.75">
      <c r="A19" s="20">
        <v>7</v>
      </c>
      <c r="B19" s="29">
        <v>0</v>
      </c>
      <c r="C19" s="29">
        <v>0</v>
      </c>
      <c r="D19" s="29">
        <v>0</v>
      </c>
      <c r="E19" s="35">
        <f t="shared" si="0"/>
        <v>0</v>
      </c>
      <c r="F19" s="36">
        <f>E19-E13</f>
        <v>0</v>
      </c>
      <c r="G19" s="35" t="e">
        <f>F19/(Parameters!$B$9*Parameters!$B$20)</f>
        <v>#VALUE!</v>
      </c>
      <c r="H19" s="37" t="e">
        <f>G19/(37000*60*Parameters!$B$26/1000)</f>
        <v>#VALUE!</v>
      </c>
      <c r="I19" s="37" t="e">
        <f>H19/EXP(-0.693*Parameters!$D$24/(Parameters!$B$8*24))</f>
        <v>#VALUE!</v>
      </c>
      <c r="J19" s="37" t="e">
        <f t="shared" si="1"/>
        <v>#VALUE!</v>
      </c>
      <c r="O19" s="2"/>
      <c r="P19" s="9"/>
      <c r="Q19" s="2"/>
      <c r="R19" s="1"/>
    </row>
    <row r="20" spans="1:18" ht="12.75">
      <c r="A20" s="20">
        <v>8</v>
      </c>
      <c r="B20" s="29">
        <v>0</v>
      </c>
      <c r="C20" s="29">
        <v>0</v>
      </c>
      <c r="D20" s="29">
        <v>0</v>
      </c>
      <c r="E20" s="35">
        <f t="shared" si="0"/>
        <v>0</v>
      </c>
      <c r="F20" s="36">
        <f>E20-E13</f>
        <v>0</v>
      </c>
      <c r="G20" s="35" t="e">
        <f>F20/(Parameters!$B$9*Parameters!$B$20)</f>
        <v>#VALUE!</v>
      </c>
      <c r="H20" s="37" t="e">
        <f>G20/(37000*60*Parameters!$B$26/1000)</f>
        <v>#VALUE!</v>
      </c>
      <c r="I20" s="37" t="e">
        <f>H20/EXP(-0.693*Parameters!$D$24/(Parameters!$B$8*24))</f>
        <v>#VALUE!</v>
      </c>
      <c r="J20" s="37" t="e">
        <f t="shared" si="1"/>
        <v>#VALUE!</v>
      </c>
      <c r="O20" s="2"/>
      <c r="P20" s="9"/>
      <c r="Q20" s="2"/>
      <c r="R20" s="1"/>
    </row>
    <row r="21" spans="1:18" ht="12.75">
      <c r="A21" s="20">
        <v>9</v>
      </c>
      <c r="B21" s="29">
        <v>0</v>
      </c>
      <c r="C21" s="29">
        <v>0</v>
      </c>
      <c r="D21" s="29">
        <v>0</v>
      </c>
      <c r="E21" s="35">
        <f t="shared" si="0"/>
        <v>0</v>
      </c>
      <c r="F21" s="36">
        <f>E21-E13</f>
        <v>0</v>
      </c>
      <c r="G21" s="35" t="e">
        <f>F21/(Parameters!$B$9*Parameters!$B$20)</f>
        <v>#VALUE!</v>
      </c>
      <c r="H21" s="37" t="e">
        <f>G21/(37000*60*Parameters!$B$26/1000)</f>
        <v>#VALUE!</v>
      </c>
      <c r="I21" s="37" t="e">
        <f>H21/EXP(-0.693*Parameters!$D$24/(Parameters!$B$8*24))</f>
        <v>#VALUE!</v>
      </c>
      <c r="J21" s="37" t="e">
        <f t="shared" si="1"/>
        <v>#VALUE!</v>
      </c>
      <c r="O21" s="2"/>
      <c r="P21" s="9"/>
      <c r="Q21" s="2"/>
      <c r="R21" s="1"/>
    </row>
    <row r="22" spans="1:18" ht="12.75">
      <c r="A22" s="20">
        <v>10</v>
      </c>
      <c r="B22" s="29">
        <v>0</v>
      </c>
      <c r="C22" s="29">
        <v>0</v>
      </c>
      <c r="D22" s="29">
        <v>0</v>
      </c>
      <c r="E22" s="35">
        <f t="shared" si="0"/>
        <v>0</v>
      </c>
      <c r="F22" s="36">
        <f>E22-E13</f>
        <v>0</v>
      </c>
      <c r="G22" s="35" t="e">
        <f>F22/(Parameters!$B$9*Parameters!$B$20)</f>
        <v>#VALUE!</v>
      </c>
      <c r="H22" s="37" t="e">
        <f>G22/(37000*60*Parameters!$B$26/1000)</f>
        <v>#VALUE!</v>
      </c>
      <c r="I22" s="37" t="e">
        <f>H22/EXP(-0.693*Parameters!$D$24/(Parameters!$B$8*24))</f>
        <v>#VALUE!</v>
      </c>
      <c r="J22" s="37" t="e">
        <f t="shared" si="1"/>
        <v>#VALUE!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D23" sqref="D23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 t="str">
        <f>Parameters!$B$3</f>
        <v>V-79, Cs-137 acute, 100% cluster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8" t="str">
        <f>Parameters!$B$1</f>
        <v>Apr. 2, 2001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1"/>
      <c r="C7" s="31" t="s">
        <v>46</v>
      </c>
      <c r="D7" s="31"/>
      <c r="E7" s="39" t="s">
        <v>9</v>
      </c>
      <c r="F7" s="39" t="s">
        <v>9</v>
      </c>
      <c r="G7" s="39" t="s">
        <v>6</v>
      </c>
      <c r="H7" s="31" t="s">
        <v>78</v>
      </c>
      <c r="I7" s="31" t="s">
        <v>79</v>
      </c>
      <c r="J7" s="31" t="s">
        <v>79</v>
      </c>
    </row>
    <row r="8" spans="2:10" ht="12.75">
      <c r="B8" s="31"/>
      <c r="C8" s="31" t="s">
        <v>2</v>
      </c>
      <c r="D8" s="31"/>
      <c r="E8" s="39" t="s">
        <v>8</v>
      </c>
      <c r="F8" s="31" t="s">
        <v>10</v>
      </c>
      <c r="G8" s="31" t="s">
        <v>41</v>
      </c>
      <c r="H8" s="32" t="s">
        <v>76</v>
      </c>
      <c r="I8" s="32" t="s">
        <v>80</v>
      </c>
      <c r="J8" s="31" t="s">
        <v>57</v>
      </c>
    </row>
    <row r="9" spans="2:10" ht="12.75">
      <c r="B9" s="31" t="s">
        <v>4</v>
      </c>
      <c r="C9" s="31" t="s">
        <v>3</v>
      </c>
      <c r="D9" s="31" t="s">
        <v>5</v>
      </c>
      <c r="E9" s="39"/>
      <c r="F9" s="31" t="s">
        <v>11</v>
      </c>
      <c r="G9" s="39"/>
      <c r="H9" s="31" t="s">
        <v>7</v>
      </c>
      <c r="I9" s="31" t="s">
        <v>47</v>
      </c>
      <c r="J9" s="31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1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3">
        <v>1</v>
      </c>
      <c r="B13" s="28">
        <v>0</v>
      </c>
      <c r="C13" s="28">
        <v>0</v>
      </c>
      <c r="D13" s="28">
        <v>0</v>
      </c>
      <c r="E13" s="34">
        <f>AVERAGE(B13:D14)</f>
        <v>0</v>
      </c>
      <c r="F13" s="34">
        <v>0</v>
      </c>
      <c r="G13" s="40">
        <v>0</v>
      </c>
      <c r="H13" s="41">
        <v>0</v>
      </c>
      <c r="I13" s="40">
        <v>0</v>
      </c>
      <c r="J13" s="58">
        <f>I13*37</f>
        <v>0</v>
      </c>
    </row>
    <row r="14" spans="1:10" ht="12.75">
      <c r="A14" s="33">
        <v>2</v>
      </c>
      <c r="B14" s="28">
        <v>0</v>
      </c>
      <c r="C14" s="28">
        <v>0</v>
      </c>
      <c r="D14" s="28">
        <v>0</v>
      </c>
      <c r="E14" s="34"/>
      <c r="F14" s="34">
        <v>0</v>
      </c>
      <c r="G14" s="40">
        <v>0</v>
      </c>
      <c r="H14" s="41">
        <v>0</v>
      </c>
      <c r="I14" s="40">
        <v>0</v>
      </c>
      <c r="J14" s="58">
        <f aca="true" t="shared" si="0" ref="J14:J22">I14*37</f>
        <v>0</v>
      </c>
    </row>
    <row r="15" spans="1:10" ht="12.75">
      <c r="A15" s="20">
        <v>3</v>
      </c>
      <c r="B15" s="29">
        <v>0</v>
      </c>
      <c r="C15" s="29">
        <v>0</v>
      </c>
      <c r="D15" s="29">
        <v>0</v>
      </c>
      <c r="E15" s="35">
        <f aca="true" t="shared" si="1" ref="E15:E22">AVERAGE(B15:D15)</f>
        <v>0</v>
      </c>
      <c r="F15" s="35">
        <f>E15-$E$13</f>
        <v>0</v>
      </c>
      <c r="G15" s="35" t="e">
        <f>F15/(Parameters!$B$9*Parameters!$B$20)</f>
        <v>#VALUE!</v>
      </c>
      <c r="H15" s="42" t="e">
        <f>G15/(37000*60*Parameters!$B$27/1000)</f>
        <v>#VALUE!</v>
      </c>
      <c r="I15" s="42" t="e">
        <f>H15/EXP(-0.693*(Parameters!$D$25)/(Parameters!$B$8*24))</f>
        <v>#VALUE!</v>
      </c>
      <c r="J15" s="37" t="e">
        <f t="shared" si="0"/>
        <v>#VALUE!</v>
      </c>
    </row>
    <row r="16" spans="1:10" ht="12.75">
      <c r="A16" s="20">
        <v>4</v>
      </c>
      <c r="B16" s="29">
        <v>0</v>
      </c>
      <c r="C16" s="29">
        <v>0</v>
      </c>
      <c r="D16" s="29">
        <v>0</v>
      </c>
      <c r="E16" s="35">
        <f t="shared" si="1"/>
        <v>0</v>
      </c>
      <c r="F16" s="35">
        <f aca="true" t="shared" si="2" ref="F16:F22">E16-$E$13</f>
        <v>0</v>
      </c>
      <c r="G16" s="35" t="e">
        <f>F16/(Parameters!$B$9*Parameters!$B$20)</f>
        <v>#VALUE!</v>
      </c>
      <c r="H16" s="42" t="e">
        <f>G16/(37000*60*Parameters!$B$27/1000)</f>
        <v>#VALUE!</v>
      </c>
      <c r="I16" s="42" t="e">
        <f>H16/EXP(-0.693*(Parameters!$D$25)/(Parameters!$B$8*24))</f>
        <v>#VALUE!</v>
      </c>
      <c r="J16" s="37" t="e">
        <f t="shared" si="0"/>
        <v>#VALUE!</v>
      </c>
    </row>
    <row r="17" spans="1:10" ht="12.75">
      <c r="A17" s="20">
        <v>5</v>
      </c>
      <c r="B17" s="29">
        <v>0</v>
      </c>
      <c r="C17" s="29">
        <v>0</v>
      </c>
      <c r="D17" s="29">
        <v>0</v>
      </c>
      <c r="E17" s="35">
        <f t="shared" si="1"/>
        <v>0</v>
      </c>
      <c r="F17" s="35">
        <f t="shared" si="2"/>
        <v>0</v>
      </c>
      <c r="G17" s="35" t="e">
        <f>F17/(Parameters!$B$9*Parameters!$B$20)</f>
        <v>#VALUE!</v>
      </c>
      <c r="H17" s="42" t="e">
        <f>G17/(37000*60*Parameters!$B$27/1000)</f>
        <v>#VALUE!</v>
      </c>
      <c r="I17" s="42" t="e">
        <f>H17/EXP(-0.693*(Parameters!$D$25)/(Parameters!$B$8*24))</f>
        <v>#VALUE!</v>
      </c>
      <c r="J17" s="37" t="e">
        <f t="shared" si="0"/>
        <v>#VALUE!</v>
      </c>
    </row>
    <row r="18" spans="1:10" ht="12.75">
      <c r="A18" s="20">
        <v>6</v>
      </c>
      <c r="B18" s="29">
        <v>0</v>
      </c>
      <c r="C18" s="29">
        <v>0</v>
      </c>
      <c r="D18" s="29">
        <v>0</v>
      </c>
      <c r="E18" s="35">
        <f t="shared" si="1"/>
        <v>0</v>
      </c>
      <c r="F18" s="35">
        <f t="shared" si="2"/>
        <v>0</v>
      </c>
      <c r="G18" s="35" t="e">
        <f>F18/(Parameters!$B$9*Parameters!$B$20)</f>
        <v>#VALUE!</v>
      </c>
      <c r="H18" s="42" t="e">
        <f>G18/(37000*60*Parameters!$B$27/1000)</f>
        <v>#VALUE!</v>
      </c>
      <c r="I18" s="42" t="e">
        <f>H18/EXP(-0.693*(Parameters!$D$25)/(Parameters!$B$8*24))</f>
        <v>#VALUE!</v>
      </c>
      <c r="J18" s="37" t="e">
        <f t="shared" si="0"/>
        <v>#VALUE!</v>
      </c>
    </row>
    <row r="19" spans="1:10" ht="12.75">
      <c r="A19" s="20">
        <v>7</v>
      </c>
      <c r="B19" s="29">
        <v>0</v>
      </c>
      <c r="C19" s="29">
        <v>0</v>
      </c>
      <c r="D19" s="29">
        <v>0</v>
      </c>
      <c r="E19" s="35">
        <f t="shared" si="1"/>
        <v>0</v>
      </c>
      <c r="F19" s="35">
        <f t="shared" si="2"/>
        <v>0</v>
      </c>
      <c r="G19" s="35" t="e">
        <f>F19/(Parameters!$B$9*Parameters!$B$20)</f>
        <v>#VALUE!</v>
      </c>
      <c r="H19" s="42" t="e">
        <f>G19/(37000*60*Parameters!$B$27/1000)</f>
        <v>#VALUE!</v>
      </c>
      <c r="I19" s="42" t="e">
        <f>H19/EXP(-0.693*(Parameters!$D$25)/(Parameters!$B$8*24))</f>
        <v>#VALUE!</v>
      </c>
      <c r="J19" s="37" t="e">
        <f t="shared" si="0"/>
        <v>#VALUE!</v>
      </c>
    </row>
    <row r="20" spans="1:10" ht="12.75">
      <c r="A20" s="20">
        <v>8</v>
      </c>
      <c r="B20" s="29">
        <v>0</v>
      </c>
      <c r="C20" s="29">
        <v>0</v>
      </c>
      <c r="D20" s="29">
        <v>0</v>
      </c>
      <c r="E20" s="35">
        <f t="shared" si="1"/>
        <v>0</v>
      </c>
      <c r="F20" s="35">
        <f t="shared" si="2"/>
        <v>0</v>
      </c>
      <c r="G20" s="35" t="e">
        <f>F20/(Parameters!$B$9*Parameters!$B$20)</f>
        <v>#VALUE!</v>
      </c>
      <c r="H20" s="42" t="e">
        <f>G20/(37000*60*Parameters!$B$27/1000)</f>
        <v>#VALUE!</v>
      </c>
      <c r="I20" s="42" t="e">
        <f>H20/EXP(-0.693*(Parameters!$D$25)/(Parameters!$B$8*24))</f>
        <v>#VALUE!</v>
      </c>
      <c r="J20" s="37" t="e">
        <f t="shared" si="0"/>
        <v>#VALUE!</v>
      </c>
    </row>
    <row r="21" spans="1:10" ht="12.75">
      <c r="A21" s="20">
        <v>9</v>
      </c>
      <c r="B21" s="29">
        <v>0</v>
      </c>
      <c r="C21" s="29">
        <v>0</v>
      </c>
      <c r="D21" s="29">
        <v>0</v>
      </c>
      <c r="E21" s="35">
        <f t="shared" si="1"/>
        <v>0</v>
      </c>
      <c r="F21" s="35">
        <f t="shared" si="2"/>
        <v>0</v>
      </c>
      <c r="G21" s="35" t="e">
        <f>F21/(Parameters!$B$9*Parameters!$B$20)</f>
        <v>#VALUE!</v>
      </c>
      <c r="H21" s="42" t="e">
        <f>G21/(37000*60*Parameters!$B$27/1000)</f>
        <v>#VALUE!</v>
      </c>
      <c r="I21" s="42" t="e">
        <f>H21/EXP(-0.693*(Parameters!$D$25)/(Parameters!$B$8*24))</f>
        <v>#VALUE!</v>
      </c>
      <c r="J21" s="37" t="e">
        <f t="shared" si="0"/>
        <v>#VALUE!</v>
      </c>
    </row>
    <row r="22" spans="1:10" ht="12.75">
      <c r="A22" s="20">
        <v>10</v>
      </c>
      <c r="B22" s="29">
        <v>0</v>
      </c>
      <c r="C22" s="29">
        <v>0</v>
      </c>
      <c r="D22" s="29">
        <v>0</v>
      </c>
      <c r="E22" s="35">
        <f t="shared" si="1"/>
        <v>0</v>
      </c>
      <c r="F22" s="35">
        <f t="shared" si="2"/>
        <v>0</v>
      </c>
      <c r="G22" s="35" t="e">
        <f>F22/(Parameters!$B$9*Parameters!$B$20)</f>
        <v>#VALUE!</v>
      </c>
      <c r="H22" s="42" t="e">
        <f>G22/(37000*60*Parameters!$B$27/1000)</f>
        <v>#VALUE!</v>
      </c>
      <c r="I22" s="42" t="e">
        <f>H22/EXP(-0.693*(Parameters!$D$25)/(Parameters!$B$8*24))</f>
        <v>#VALUE!</v>
      </c>
      <c r="J22" s="37" t="e">
        <f t="shared" si="0"/>
        <v>#VALUE!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E45" sqref="E45"/>
    </sheetView>
  </sheetViews>
  <sheetFormatPr defaultColWidth="9.140625" defaultRowHeight="12.75"/>
  <cols>
    <col min="1" max="1" width="6.57421875" style="62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2" t="s">
        <v>45</v>
      </c>
      <c r="B3" s="20"/>
      <c r="C3" s="20" t="str">
        <f>Parameters!$B$3</f>
        <v>V-79, Cs-137 acute, 100% cluster</v>
      </c>
      <c r="D3" s="20"/>
      <c r="E3" s="20"/>
      <c r="F3" s="20"/>
    </row>
    <row r="4" spans="1:6" ht="12.75">
      <c r="A4" s="62" t="s">
        <v>12</v>
      </c>
      <c r="B4" s="20"/>
      <c r="C4" s="43" t="str">
        <f>Parameters!$B$1</f>
        <v>Apr. 2, 2001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2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1" t="s">
        <v>4</v>
      </c>
      <c r="C8" s="31" t="s">
        <v>3</v>
      </c>
      <c r="D8" s="31" t="s">
        <v>5</v>
      </c>
      <c r="E8" s="20"/>
      <c r="F8" s="20"/>
      <c r="G8" s="31" t="s">
        <v>85</v>
      </c>
      <c r="H8" s="31" t="s">
        <v>86</v>
      </c>
      <c r="I8" s="31" t="s">
        <v>5</v>
      </c>
      <c r="J8" s="31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3">
        <v>1</v>
      </c>
      <c r="B13" s="28">
        <v>5609</v>
      </c>
      <c r="C13" s="28">
        <v>5468</v>
      </c>
      <c r="D13" s="28">
        <v>5562</v>
      </c>
      <c r="E13" s="34">
        <f>IF(Parameters!$B$33="Yes",AVERAGE(G13:J13),AVERAGE(B13:D13))</f>
        <v>5546.333333333333</v>
      </c>
      <c r="F13" s="34">
        <f>IF(Parameters!$B$33="Yes",E13*10000,(E13-Parameters!$B$31)*Parameters!$B$32*(100/Parameters!$B$29)*(500/Parameters!$B$30))</f>
        <v>2213333.333333333</v>
      </c>
      <c r="G13" s="26"/>
      <c r="H13" s="26"/>
      <c r="I13" s="26"/>
      <c r="J13" s="26"/>
    </row>
    <row r="14" spans="1:10" ht="12.75">
      <c r="A14" s="63">
        <v>2</v>
      </c>
      <c r="B14" s="28">
        <v>6538</v>
      </c>
      <c r="C14" s="28">
        <v>6596</v>
      </c>
      <c r="D14" s="28">
        <v>6634</v>
      </c>
      <c r="E14" s="34">
        <f>IF(Parameters!$B$33="Yes",AVERAGE(G14:J14),AVERAGE(B14:D14))</f>
        <v>6589.333333333333</v>
      </c>
      <c r="F14" s="34">
        <f>IF(Parameters!$B$33="Yes",E14*10000,(E14-Parameters!$B$31)*Parameters!$B$32*(100/Parameters!$B$29)*(500/Parameters!$B$30))</f>
        <v>2630533.333333333</v>
      </c>
      <c r="G14" s="26"/>
      <c r="H14" s="26"/>
      <c r="I14" s="26"/>
      <c r="J14" s="26"/>
    </row>
    <row r="15" spans="1:10" ht="12.75">
      <c r="A15" s="62">
        <v>3</v>
      </c>
      <c r="B15" s="29">
        <v>6586</v>
      </c>
      <c r="C15" s="29">
        <v>6628</v>
      </c>
      <c r="D15" s="29">
        <v>6538</v>
      </c>
      <c r="E15" s="35">
        <f>IF(Parameters!$B$33="Yes",AVERAGE(G15:J15),AVERAGE(B15:D15))</f>
        <v>6584</v>
      </c>
      <c r="F15" s="35">
        <f>IF(Parameters!$B$33="Yes",E15*10000,(E15-Parameters!$B$31)*Parameters!$B$32*(100/Parameters!$B$29)*(500/Parameters!$B$30))</f>
        <v>2628400</v>
      </c>
      <c r="G15" s="26"/>
      <c r="H15" s="26"/>
      <c r="I15" s="26"/>
      <c r="J15" s="26"/>
    </row>
    <row r="16" spans="1:10" ht="12.75">
      <c r="A16" s="62">
        <v>4</v>
      </c>
      <c r="B16" s="29">
        <v>6639</v>
      </c>
      <c r="C16" s="29">
        <v>6918</v>
      </c>
      <c r="D16" s="29">
        <v>6735</v>
      </c>
      <c r="E16" s="35">
        <f>IF(Parameters!$B$33="Yes",AVERAGE(G16:J16),AVERAGE(B16:D16))</f>
        <v>6764</v>
      </c>
      <c r="F16" s="35">
        <f>IF(Parameters!$B$33="Yes",E16*10000,(E16-Parameters!$B$31)*Parameters!$B$32*(100/Parameters!$B$29)*(500/Parameters!$B$30))</f>
        <v>2700400</v>
      </c>
      <c r="G16" s="26"/>
      <c r="H16" s="26"/>
      <c r="I16" s="26"/>
      <c r="J16" s="26"/>
    </row>
    <row r="17" spans="1:10" ht="12.75">
      <c r="A17" s="62">
        <v>5</v>
      </c>
      <c r="B17" s="29">
        <v>6245</v>
      </c>
      <c r="C17" s="29">
        <v>6282</v>
      </c>
      <c r="D17" s="29">
        <v>6161</v>
      </c>
      <c r="E17" s="35">
        <f>IF(Parameters!$B$33="Yes",AVERAGE(G17:J17),AVERAGE(B17:D17))</f>
        <v>6229.333333333333</v>
      </c>
      <c r="F17" s="35">
        <f>IF(Parameters!$B$33="Yes",E17*10000,(E17-Parameters!$B$31)*Parameters!$B$32*(100/Parameters!$B$29)*(500/Parameters!$B$30))</f>
        <v>2486533.333333333</v>
      </c>
      <c r="G17" s="26"/>
      <c r="H17" s="26"/>
      <c r="I17" s="26"/>
      <c r="J17" s="26"/>
    </row>
    <row r="18" spans="1:10" ht="12.75">
      <c r="A18" s="62">
        <v>6</v>
      </c>
      <c r="B18" s="29">
        <v>6956</v>
      </c>
      <c r="C18" s="29">
        <v>6709</v>
      </c>
      <c r="D18" s="29">
        <v>6923</v>
      </c>
      <c r="E18" s="35">
        <f>IF(Parameters!$B$33="Yes",AVERAGE(G18:J18),AVERAGE(B18:D18))</f>
        <v>6862.666666666667</v>
      </c>
      <c r="F18" s="35">
        <f>IF(Parameters!$B$33="Yes",E18*10000,(E18-Parameters!$B$31)*Parameters!$B$32*(100/Parameters!$B$29)*(500/Parameters!$B$30))</f>
        <v>2739866.666666667</v>
      </c>
      <c r="G18" s="26"/>
      <c r="H18" s="26"/>
      <c r="I18" s="26"/>
      <c r="J18" s="26"/>
    </row>
    <row r="19" spans="1:10" ht="12.75">
      <c r="A19" s="62">
        <v>7</v>
      </c>
      <c r="B19" s="29">
        <v>6367</v>
      </c>
      <c r="C19" s="29">
        <v>6431</v>
      </c>
      <c r="D19" s="29">
        <v>6532</v>
      </c>
      <c r="E19" s="35">
        <f>IF(Parameters!$B$33="Yes",AVERAGE(G19:J19),AVERAGE(B19:D19))</f>
        <v>6443.333333333333</v>
      </c>
      <c r="F19" s="35">
        <f>IF(Parameters!$B$33="Yes",E19*10000,(E19-Parameters!$B$31)*Parameters!$B$32*(100/Parameters!$B$29)*(500/Parameters!$B$30))</f>
        <v>2572133.333333333</v>
      </c>
      <c r="G19" s="26"/>
      <c r="H19" s="26"/>
      <c r="I19" s="26"/>
      <c r="J19" s="26"/>
    </row>
    <row r="20" spans="1:10" ht="12.75">
      <c r="A20" s="62">
        <v>8</v>
      </c>
      <c r="B20" s="29">
        <v>4597</v>
      </c>
      <c r="C20" s="29">
        <v>4525</v>
      </c>
      <c r="D20" s="29">
        <v>4148</v>
      </c>
      <c r="E20" s="35">
        <f>IF(Parameters!$B$33="Yes",AVERAGE(G20:J20),AVERAGE(B20:D20))</f>
        <v>4423.333333333333</v>
      </c>
      <c r="F20" s="35">
        <f>IF(Parameters!$B$33="Yes",E20*10000,(E20-Parameters!$B$31)*Parameters!$B$32*(100/Parameters!$B$29)*(500/Parameters!$B$30))</f>
        <v>1764133.3333333333</v>
      </c>
      <c r="G20" s="26"/>
      <c r="H20" s="26"/>
      <c r="I20" s="26"/>
      <c r="J20" s="26"/>
    </row>
    <row r="21" spans="1:10" ht="12.75">
      <c r="A21" s="62">
        <v>9</v>
      </c>
      <c r="B21" s="29">
        <v>6452</v>
      </c>
      <c r="C21" s="29">
        <v>6373</v>
      </c>
      <c r="D21" s="29">
        <v>6309</v>
      </c>
      <c r="E21" s="35">
        <f>IF(Parameters!$B$33="Yes",AVERAGE(G21:J21),AVERAGE(B21:D21))</f>
        <v>6378</v>
      </c>
      <c r="F21" s="35">
        <f>IF(Parameters!$B$33="Yes",E21*10000,(E21-Parameters!$B$31)*Parameters!$B$32*(100/Parameters!$B$29)*(500/Parameters!$B$30))</f>
        <v>2546000</v>
      </c>
      <c r="G21" s="26"/>
      <c r="H21" s="26"/>
      <c r="I21" s="26"/>
      <c r="J21" s="26"/>
    </row>
    <row r="22" spans="1:10" ht="12.75">
      <c r="A22" s="62">
        <v>10</v>
      </c>
      <c r="B22" s="29">
        <v>6655</v>
      </c>
      <c r="C22" s="29">
        <v>6810</v>
      </c>
      <c r="D22" s="29">
        <v>6805</v>
      </c>
      <c r="E22" s="35">
        <f>IF(Parameters!$B$33="Yes",AVERAGE(G22:J22),AVERAGE(B22:D22))</f>
        <v>6756.666666666667</v>
      </c>
      <c r="F22" s="35">
        <f>IF(Parameters!$B$33="Yes",E22*10000,(E22-Parameters!$B$31)*Parameters!$B$32*(100/Parameters!$B$29)*(500/Parameters!$B$30))</f>
        <v>2697466.666666667</v>
      </c>
      <c r="G22" s="26"/>
      <c r="H22" s="26"/>
      <c r="I22" s="26"/>
      <c r="J22" s="26"/>
    </row>
    <row r="29" spans="1:10" ht="12.75">
      <c r="A29" s="62" t="s">
        <v>1</v>
      </c>
      <c r="B29" s="31" t="s">
        <v>63</v>
      </c>
      <c r="C29" s="31" t="s">
        <v>65</v>
      </c>
      <c r="D29" s="20"/>
      <c r="E29" s="20" t="s">
        <v>50</v>
      </c>
      <c r="F29" s="20"/>
      <c r="G29" s="31" t="s">
        <v>8</v>
      </c>
      <c r="H29" s="31" t="s">
        <v>52</v>
      </c>
      <c r="I29" s="31" t="s">
        <v>14</v>
      </c>
      <c r="J29" s="31" t="s">
        <v>14</v>
      </c>
    </row>
    <row r="30" spans="2:10" ht="12.75">
      <c r="B30" s="31" t="s">
        <v>64</v>
      </c>
      <c r="C30" s="31" t="s">
        <v>64</v>
      </c>
      <c r="D30" s="31" t="s">
        <v>4</v>
      </c>
      <c r="E30" s="31" t="s">
        <v>3</v>
      </c>
      <c r="F30" s="31" t="s">
        <v>5</v>
      </c>
      <c r="G30" s="31"/>
      <c r="H30" s="31"/>
      <c r="I30" s="31" t="s">
        <v>67</v>
      </c>
      <c r="J30" s="31" t="s">
        <v>68</v>
      </c>
    </row>
    <row r="31" spans="2:10" ht="12.75">
      <c r="B31" s="31" t="s">
        <v>51</v>
      </c>
      <c r="C31" s="31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3">
        <v>1</v>
      </c>
      <c r="B35" s="26">
        <v>200</v>
      </c>
      <c r="C35" s="34">
        <f>F13/(10000*200/B35)</f>
        <v>221.33333333333331</v>
      </c>
      <c r="D35" s="28">
        <v>29</v>
      </c>
      <c r="E35" s="28">
        <v>42</v>
      </c>
      <c r="F35" s="28">
        <v>31</v>
      </c>
      <c r="G35" s="34">
        <f>AVERAGE(D35:F36)</f>
        <v>34.333333333333336</v>
      </c>
      <c r="H35" s="44">
        <f>G35/AVERAGE($C$35,$C$36)*100</f>
        <v>14.176002642517</v>
      </c>
      <c r="I35" s="59">
        <f>G35*200/B35/$G$35</f>
        <v>1</v>
      </c>
      <c r="J35" s="58">
        <f>(G35/AVERAGE(C35:C36))/($G$35/AVERAGE($C$35,$C$36))</f>
        <v>1</v>
      </c>
    </row>
    <row r="36" spans="1:10" ht="12.75">
      <c r="A36" s="63">
        <v>2</v>
      </c>
      <c r="B36" s="26">
        <v>200</v>
      </c>
      <c r="C36" s="34">
        <f aca="true" t="shared" si="0" ref="C36:C44">F14/(10000*200/B36)</f>
        <v>263.0533333333333</v>
      </c>
      <c r="D36" s="28">
        <v>43</v>
      </c>
      <c r="E36" s="28">
        <v>32</v>
      </c>
      <c r="F36" s="28">
        <v>29</v>
      </c>
      <c r="G36" s="34"/>
      <c r="H36" s="44"/>
      <c r="I36" s="45"/>
      <c r="J36" s="37"/>
    </row>
    <row r="37" spans="1:10" ht="12.75">
      <c r="A37" s="62">
        <v>3</v>
      </c>
      <c r="B37" s="26">
        <v>200</v>
      </c>
      <c r="C37" s="35">
        <f t="shared" si="0"/>
        <v>262.84</v>
      </c>
      <c r="D37" s="29">
        <v>21</v>
      </c>
      <c r="E37" s="29">
        <v>31</v>
      </c>
      <c r="F37" s="29">
        <v>20</v>
      </c>
      <c r="G37" s="35">
        <f aca="true" t="shared" si="1" ref="G37:G44">AVERAGE(D37:F37)</f>
        <v>24</v>
      </c>
      <c r="H37" s="46">
        <f aca="true" t="shared" si="2" ref="H37:H44">G37/C37*100</f>
        <v>9.131030284583778</v>
      </c>
      <c r="I37" s="37">
        <f aca="true" t="shared" si="3" ref="I37:I44">G37*200/B37/$G$35</f>
        <v>0.6990291262135921</v>
      </c>
      <c r="J37" s="37">
        <f>(G37/C37)/($G$35/AVERAGE($C$35,$C$36))</f>
        <v>0.6441188334148428</v>
      </c>
    </row>
    <row r="38" spans="1:10" ht="12.75">
      <c r="A38" s="62">
        <v>4</v>
      </c>
      <c r="B38" s="26">
        <v>200</v>
      </c>
      <c r="C38" s="35">
        <f t="shared" si="0"/>
        <v>270.04</v>
      </c>
      <c r="D38" s="29">
        <v>27</v>
      </c>
      <c r="E38" s="29">
        <v>37</v>
      </c>
      <c r="F38" s="29">
        <v>29</v>
      </c>
      <c r="G38" s="35">
        <f t="shared" si="1"/>
        <v>31</v>
      </c>
      <c r="H38" s="46">
        <f t="shared" si="2"/>
        <v>11.479780773218781</v>
      </c>
      <c r="I38" s="37">
        <f t="shared" si="3"/>
        <v>0.9029126213592232</v>
      </c>
      <c r="J38" s="37">
        <f aca="true" t="shared" si="4" ref="J38:J44">(G38/C38)/($G$35/AVERAGE($C$35,$C$36))</f>
        <v>0.8098037974956603</v>
      </c>
    </row>
    <row r="39" spans="1:10" ht="12.75">
      <c r="A39" s="62">
        <v>5</v>
      </c>
      <c r="B39" s="26">
        <v>200</v>
      </c>
      <c r="C39" s="35">
        <f t="shared" si="0"/>
        <v>248.6533333333333</v>
      </c>
      <c r="D39" s="29">
        <v>35</v>
      </c>
      <c r="E39" s="29">
        <v>25</v>
      </c>
      <c r="F39" s="29">
        <v>28</v>
      </c>
      <c r="G39" s="35">
        <f t="shared" si="1"/>
        <v>29.333333333333332</v>
      </c>
      <c r="H39" s="46">
        <f t="shared" si="2"/>
        <v>11.796879189232667</v>
      </c>
      <c r="I39" s="37">
        <f t="shared" si="3"/>
        <v>0.8543689320388348</v>
      </c>
      <c r="J39" s="37">
        <f t="shared" si="4"/>
        <v>0.8321724739138515</v>
      </c>
    </row>
    <row r="40" spans="1:10" ht="12.75">
      <c r="A40" s="62">
        <v>6</v>
      </c>
      <c r="B40" s="26">
        <v>200</v>
      </c>
      <c r="C40" s="35">
        <f t="shared" si="0"/>
        <v>273.9866666666667</v>
      </c>
      <c r="D40" s="29">
        <v>43</v>
      </c>
      <c r="E40" s="29">
        <v>34</v>
      </c>
      <c r="F40" s="29">
        <v>22</v>
      </c>
      <c r="G40" s="35">
        <f t="shared" si="1"/>
        <v>33</v>
      </c>
      <c r="H40" s="46">
        <f t="shared" si="2"/>
        <v>12.044381721738285</v>
      </c>
      <c r="I40" s="37">
        <f t="shared" si="3"/>
        <v>0.9611650485436892</v>
      </c>
      <c r="J40" s="37">
        <f t="shared" si="4"/>
        <v>0.8496317350854953</v>
      </c>
    </row>
    <row r="41" spans="1:10" ht="12.75">
      <c r="A41" s="62">
        <v>7</v>
      </c>
      <c r="B41" s="26">
        <v>200</v>
      </c>
      <c r="C41" s="35">
        <f t="shared" si="0"/>
        <v>257.2133333333333</v>
      </c>
      <c r="D41" s="29">
        <v>17</v>
      </c>
      <c r="E41" s="29">
        <v>29</v>
      </c>
      <c r="F41" s="29">
        <v>41</v>
      </c>
      <c r="G41" s="35">
        <f t="shared" si="1"/>
        <v>29</v>
      </c>
      <c r="H41" s="46">
        <f t="shared" si="2"/>
        <v>11.274687678191905</v>
      </c>
      <c r="I41" s="37">
        <f t="shared" si="3"/>
        <v>0.8446601941747572</v>
      </c>
      <c r="J41" s="37">
        <f t="shared" si="4"/>
        <v>0.7953361721573469</v>
      </c>
    </row>
    <row r="42" spans="1:10" ht="12.75">
      <c r="A42" s="62">
        <v>8</v>
      </c>
      <c r="B42" s="26">
        <v>200</v>
      </c>
      <c r="C42" s="35">
        <f t="shared" si="0"/>
        <v>176.41333333333333</v>
      </c>
      <c r="D42" s="29">
        <v>19</v>
      </c>
      <c r="E42" s="29">
        <v>23</v>
      </c>
      <c r="F42" s="29">
        <v>10</v>
      </c>
      <c r="G42" s="35">
        <f t="shared" si="1"/>
        <v>17.333333333333332</v>
      </c>
      <c r="H42" s="46">
        <f t="shared" si="2"/>
        <v>9.825410021918222</v>
      </c>
      <c r="I42" s="37">
        <f t="shared" si="3"/>
        <v>0.5048543689320387</v>
      </c>
      <c r="J42" s="37">
        <f t="shared" si="4"/>
        <v>0.6931015935655671</v>
      </c>
    </row>
    <row r="43" spans="1:10" ht="12.75">
      <c r="A43" s="62">
        <v>9</v>
      </c>
      <c r="B43" s="26">
        <v>200</v>
      </c>
      <c r="C43" s="35">
        <f t="shared" si="0"/>
        <v>254.6</v>
      </c>
      <c r="D43" s="29">
        <v>19</v>
      </c>
      <c r="E43" s="29">
        <v>24</v>
      </c>
      <c r="F43" s="29">
        <v>13</v>
      </c>
      <c r="G43" s="35">
        <f t="shared" si="1"/>
        <v>18.666666666666668</v>
      </c>
      <c r="H43" s="46">
        <f t="shared" si="2"/>
        <v>7.331762241424457</v>
      </c>
      <c r="I43" s="37">
        <f t="shared" si="3"/>
        <v>0.5436893203883495</v>
      </c>
      <c r="J43" s="37">
        <f t="shared" si="4"/>
        <v>0.5171953212984642</v>
      </c>
    </row>
    <row r="44" spans="1:10" ht="12.75">
      <c r="A44" s="62">
        <v>10</v>
      </c>
      <c r="B44" s="26">
        <v>200</v>
      </c>
      <c r="C44" s="35">
        <f t="shared" si="0"/>
        <v>269.74666666666667</v>
      </c>
      <c r="D44" s="29">
        <v>31</v>
      </c>
      <c r="E44" s="29">
        <v>19</v>
      </c>
      <c r="F44" s="29">
        <v>26</v>
      </c>
      <c r="G44" s="35">
        <f t="shared" si="1"/>
        <v>25.333333333333332</v>
      </c>
      <c r="H44" s="46">
        <f t="shared" si="2"/>
        <v>9.391527853294448</v>
      </c>
      <c r="I44" s="37">
        <f t="shared" si="3"/>
        <v>0.7378640776699027</v>
      </c>
      <c r="J44" s="37">
        <f t="shared" si="4"/>
        <v>0.6624947871501631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C1">
      <selection activeCell="B15" sqref="B15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 t="str">
        <f>Parameters!$B$1</f>
        <v>Apr. 2, 2001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 t="e">
        <f>MediumActivity!J15</f>
        <v>#VALUE!</v>
      </c>
      <c r="C15" s="46" t="e">
        <f>CellSuspension!J15/(CoulterSurvival!F15*Parameters!$B$14)*1000000</f>
        <v>#VALUE!</v>
      </c>
      <c r="D15" s="37">
        <f>CoulterSurvival!I37</f>
        <v>0.6990291262135921</v>
      </c>
      <c r="E15" s="37">
        <f>CoulterSurvival!J37</f>
        <v>0.6441188334148428</v>
      </c>
    </row>
    <row r="16" spans="1:5" ht="12.75">
      <c r="A16" s="20">
        <v>4</v>
      </c>
      <c r="B16" s="46" t="e">
        <f>MediumActivity!J16</f>
        <v>#VALUE!</v>
      </c>
      <c r="C16" s="46" t="e">
        <f>CellSuspension!J16/(CoulterSurvival!F16*Parameters!$B$14)*1000000</f>
        <v>#VALUE!</v>
      </c>
      <c r="D16" s="37">
        <f>CoulterSurvival!I38</f>
        <v>0.9029126213592232</v>
      </c>
      <c r="E16" s="37">
        <f>CoulterSurvival!J38</f>
        <v>0.8098037974956603</v>
      </c>
    </row>
    <row r="17" spans="1:5" ht="12.75">
      <c r="A17" s="20">
        <v>5</v>
      </c>
      <c r="B17" s="46" t="e">
        <f>MediumActivity!J17</f>
        <v>#VALUE!</v>
      </c>
      <c r="C17" s="46" t="e">
        <f>CellSuspension!J17/(CoulterSurvival!F17*Parameters!$B$14)*1000000</f>
        <v>#VALUE!</v>
      </c>
      <c r="D17" s="37">
        <f>CoulterSurvival!I39</f>
        <v>0.8543689320388348</v>
      </c>
      <c r="E17" s="37">
        <f>CoulterSurvival!J39</f>
        <v>0.8321724739138515</v>
      </c>
    </row>
    <row r="18" spans="1:5" ht="12.75">
      <c r="A18" s="20">
        <v>6</v>
      </c>
      <c r="B18" s="46" t="e">
        <f>MediumActivity!J18</f>
        <v>#VALUE!</v>
      </c>
      <c r="C18" s="46" t="e">
        <f>CellSuspension!J18/(CoulterSurvival!F18*Parameters!$B$14)*1000000</f>
        <v>#VALUE!</v>
      </c>
      <c r="D18" s="37">
        <f>CoulterSurvival!I40</f>
        <v>0.9611650485436892</v>
      </c>
      <c r="E18" s="37">
        <f>CoulterSurvival!J40</f>
        <v>0.8496317350854953</v>
      </c>
    </row>
    <row r="19" spans="1:5" ht="12.75">
      <c r="A19" s="20">
        <v>7</v>
      </c>
      <c r="B19" s="46" t="e">
        <f>MediumActivity!J19</f>
        <v>#VALUE!</v>
      </c>
      <c r="C19" s="46" t="e">
        <f>CellSuspension!J19/(CoulterSurvival!F19*Parameters!$B$14)*1000000</f>
        <v>#VALUE!</v>
      </c>
      <c r="D19" s="37">
        <f>CoulterSurvival!I41</f>
        <v>0.8446601941747572</v>
      </c>
      <c r="E19" s="37">
        <f>CoulterSurvival!J41</f>
        <v>0.7953361721573469</v>
      </c>
    </row>
    <row r="20" spans="1:5" ht="12.75">
      <c r="A20" s="20">
        <v>8</v>
      </c>
      <c r="B20" s="46" t="e">
        <f>MediumActivity!J20</f>
        <v>#VALUE!</v>
      </c>
      <c r="C20" s="46" t="e">
        <f>CellSuspension!J20/(CoulterSurvival!F20*Parameters!$B$14)*1000000</f>
        <v>#VALUE!</v>
      </c>
      <c r="D20" s="37">
        <f>CoulterSurvival!I42</f>
        <v>0.5048543689320387</v>
      </c>
      <c r="E20" s="37">
        <f>CoulterSurvival!J42</f>
        <v>0.6931015935655671</v>
      </c>
    </row>
    <row r="21" spans="1:5" ht="12.75">
      <c r="A21" s="20">
        <v>9</v>
      </c>
      <c r="B21" s="46" t="e">
        <f>MediumActivity!J21</f>
        <v>#VALUE!</v>
      </c>
      <c r="C21" s="46" t="e">
        <f>CellSuspension!J21/(CoulterSurvival!F21*Parameters!$B$14)*1000000</f>
        <v>#VALUE!</v>
      </c>
      <c r="D21" s="37">
        <f>CoulterSurvival!I43</f>
        <v>0.5436893203883495</v>
      </c>
      <c r="E21" s="37">
        <f>CoulterSurvival!J43</f>
        <v>0.5171953212984642</v>
      </c>
    </row>
    <row r="22" spans="1:5" ht="12.75">
      <c r="A22" s="20">
        <v>10</v>
      </c>
      <c r="B22" s="46" t="e">
        <f>MediumActivity!J22</f>
        <v>#VALUE!</v>
      </c>
      <c r="C22" s="46" t="e">
        <f>CellSuspension!J22/(CoulterSurvival!F22*Parameters!$B$14)*1000000</f>
        <v>#VALUE!</v>
      </c>
      <c r="D22" s="37">
        <f>CoulterSurvival!I44</f>
        <v>0.7378640776699027</v>
      </c>
      <c r="E22" s="37">
        <f>CoulterSurvival!J44</f>
        <v>0.6624947871501631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3">
      <selection activeCell="E29" sqref="E29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  <col min="5" max="5" width="10.140625" style="0" bestFit="1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 t="str">
        <f>Parameters!$B$1</f>
        <v>Apr. 2, 2001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 t="e">
        <f>MediumActivity!J15</f>
        <v>#VALUE!</v>
      </c>
      <c r="C15" s="46" t="e">
        <f>CellSuspension!J15/(CoulterSurvival!F15*Parameters!$B$14)*1000000</f>
        <v>#VALUE!</v>
      </c>
      <c r="D15" s="37">
        <f>CoulterSurvival!I37</f>
        <v>0.6990291262135921</v>
      </c>
      <c r="E15" s="37">
        <f>CoulterSurvival!J37</f>
        <v>0.6441188334148428</v>
      </c>
    </row>
    <row r="16" spans="1:5" ht="12.75">
      <c r="A16" s="20">
        <v>4</v>
      </c>
      <c r="B16" s="46" t="e">
        <f>MediumActivity!J16</f>
        <v>#VALUE!</v>
      </c>
      <c r="C16" s="46" t="e">
        <f>CellSuspension!J16/(CoulterSurvival!F16*Parameters!$B$14)*1000000</f>
        <v>#VALUE!</v>
      </c>
      <c r="D16" s="37">
        <f>CoulterSurvival!I38</f>
        <v>0.9029126213592232</v>
      </c>
      <c r="E16" s="37">
        <f>CoulterSurvival!J38</f>
        <v>0.8098037974956603</v>
      </c>
    </row>
    <row r="17" spans="1:5" ht="12.75">
      <c r="A17" s="20">
        <v>5</v>
      </c>
      <c r="B17" s="46" t="e">
        <f>MediumActivity!J17</f>
        <v>#VALUE!</v>
      </c>
      <c r="C17" s="46" t="e">
        <f>CellSuspension!J17/(CoulterSurvival!F17*Parameters!$B$14)*1000000</f>
        <v>#VALUE!</v>
      </c>
      <c r="D17" s="37">
        <f>CoulterSurvival!I39</f>
        <v>0.8543689320388348</v>
      </c>
      <c r="E17" s="37">
        <f>CoulterSurvival!J39</f>
        <v>0.8321724739138515</v>
      </c>
    </row>
    <row r="18" spans="1:5" ht="12.75">
      <c r="A18" s="20">
        <v>6</v>
      </c>
      <c r="B18" s="46" t="e">
        <f>MediumActivity!J18</f>
        <v>#VALUE!</v>
      </c>
      <c r="C18" s="46" t="e">
        <f>CellSuspension!J18/(CoulterSurvival!F18*Parameters!$B$14)*1000000</f>
        <v>#VALUE!</v>
      </c>
      <c r="D18" s="37">
        <f>CoulterSurvival!I40</f>
        <v>0.9611650485436892</v>
      </c>
      <c r="E18" s="37">
        <f>CoulterSurvival!J40</f>
        <v>0.8496317350854953</v>
      </c>
    </row>
    <row r="19" spans="1:5" ht="12.75">
      <c r="A19" s="20">
        <v>7</v>
      </c>
      <c r="B19" s="46" t="e">
        <f>MediumActivity!J19</f>
        <v>#VALUE!</v>
      </c>
      <c r="C19" s="46" t="e">
        <f>CellSuspension!J19/(CoulterSurvival!F19*Parameters!$B$14)*1000000</f>
        <v>#VALUE!</v>
      </c>
      <c r="D19" s="37">
        <f>CoulterSurvival!I41</f>
        <v>0.8446601941747572</v>
      </c>
      <c r="E19" s="37">
        <f>CoulterSurvival!J41</f>
        <v>0.7953361721573469</v>
      </c>
    </row>
    <row r="20" spans="1:5" ht="12.75">
      <c r="A20" s="20">
        <v>8</v>
      </c>
      <c r="B20" s="46" t="e">
        <f>MediumActivity!J20</f>
        <v>#VALUE!</v>
      </c>
      <c r="C20" s="46" t="e">
        <f>CellSuspension!J20/(CoulterSurvival!F20*Parameters!$B$14)*1000000</f>
        <v>#VALUE!</v>
      </c>
      <c r="D20" s="37">
        <f>CoulterSurvival!I42</f>
        <v>0.5048543689320387</v>
      </c>
      <c r="E20" s="37">
        <f>CoulterSurvival!J42</f>
        <v>0.6931015935655671</v>
      </c>
    </row>
    <row r="21" spans="1:5" ht="12.75">
      <c r="A21" s="20">
        <v>9</v>
      </c>
      <c r="B21" s="46" t="e">
        <f>MediumActivity!J21</f>
        <v>#VALUE!</v>
      </c>
      <c r="C21" s="46" t="e">
        <f>CellSuspension!J21/(CoulterSurvival!F21*Parameters!$B$14)*1000000</f>
        <v>#VALUE!</v>
      </c>
      <c r="D21" s="37">
        <f>CoulterSurvival!I43</f>
        <v>0.5436893203883495</v>
      </c>
      <c r="E21" s="37">
        <f>CoulterSurvival!J43</f>
        <v>0.5171953212984642</v>
      </c>
    </row>
    <row r="22" spans="1:5" ht="12.75">
      <c r="A22" s="20">
        <v>10</v>
      </c>
      <c r="B22" s="46" t="e">
        <f>MediumActivity!J22</f>
        <v>#VALUE!</v>
      </c>
      <c r="C22" s="46" t="e">
        <f>CellSuspension!J22/(CoulterSurvival!F22*Parameters!$B$14)*1000000</f>
        <v>#VALUE!</v>
      </c>
      <c r="D22" s="37">
        <f>CoulterSurvival!I44</f>
        <v>0.7378640776699027</v>
      </c>
      <c r="E22" s="37">
        <f>CoulterSurvival!J44</f>
        <v>0.6624947871501631</v>
      </c>
    </row>
    <row r="24" spans="2:4" ht="12.75">
      <c r="B24" t="s">
        <v>98</v>
      </c>
      <c r="C24" t="s">
        <v>97</v>
      </c>
      <c r="D24" t="s">
        <v>14</v>
      </c>
    </row>
    <row r="25" ht="12.75">
      <c r="C25" t="s">
        <v>95</v>
      </c>
    </row>
    <row r="26" ht="12.75">
      <c r="C26" t="s">
        <v>96</v>
      </c>
    </row>
    <row r="27" spans="2:4" ht="12.75">
      <c r="B27" t="s">
        <v>99</v>
      </c>
      <c r="C27">
        <v>0</v>
      </c>
      <c r="D27">
        <v>1</v>
      </c>
    </row>
    <row r="28" spans="2:4" ht="12.75">
      <c r="B28" t="s">
        <v>100</v>
      </c>
      <c r="C28">
        <v>0</v>
      </c>
      <c r="D28">
        <v>1</v>
      </c>
    </row>
    <row r="29" spans="2:4" ht="12.75">
      <c r="B29">
        <v>3</v>
      </c>
      <c r="C29">
        <v>0.99</v>
      </c>
      <c r="D29">
        <v>0.6990291262135921</v>
      </c>
    </row>
    <row r="30" spans="2:4" ht="12.75">
      <c r="B30">
        <v>4</v>
      </c>
      <c r="C30">
        <v>1.98</v>
      </c>
      <c r="D30">
        <v>0.9029126213592232</v>
      </c>
    </row>
    <row r="31" spans="2:4" ht="12.75">
      <c r="B31">
        <v>5</v>
      </c>
      <c r="C31">
        <v>2.97</v>
      </c>
      <c r="D31">
        <v>0.8543689320388348</v>
      </c>
    </row>
    <row r="32" spans="2:4" ht="12.75">
      <c r="B32">
        <v>6</v>
      </c>
      <c r="C32">
        <v>3.97</v>
      </c>
      <c r="D32">
        <v>0.9611650485436892</v>
      </c>
    </row>
    <row r="33" spans="2:4" ht="12.75">
      <c r="B33">
        <v>7</v>
      </c>
      <c r="C33">
        <v>5.95</v>
      </c>
      <c r="D33">
        <v>0.8446601941747572</v>
      </c>
    </row>
    <row r="34" spans="2:4" ht="12.75">
      <c r="B34">
        <v>8</v>
      </c>
      <c r="C34">
        <v>7.93</v>
      </c>
      <c r="D34">
        <v>0.5048543689320387</v>
      </c>
    </row>
    <row r="35" spans="2:4" ht="12.75">
      <c r="B35">
        <v>9</v>
      </c>
      <c r="C35">
        <v>9.91</v>
      </c>
      <c r="D35">
        <v>0.5436893203883495</v>
      </c>
    </row>
    <row r="36" spans="2:4" ht="12.75">
      <c r="B36">
        <v>10</v>
      </c>
      <c r="C36">
        <v>11.99</v>
      </c>
      <c r="D36">
        <v>0.7378640776699027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23"/>
  <sheetViews>
    <sheetView workbookViewId="0" topLeftCell="D1">
      <selection activeCell="K13" sqref="K13"/>
    </sheetView>
  </sheetViews>
  <sheetFormatPr defaultColWidth="9.140625" defaultRowHeight="12.75"/>
  <sheetData>
    <row r="2" spans="2:3" ht="12.75">
      <c r="B2" t="s">
        <v>95</v>
      </c>
      <c r="C2" t="s">
        <v>14</v>
      </c>
    </row>
    <row r="3" spans="2:3" ht="12.75">
      <c r="B3" t="s">
        <v>96</v>
      </c>
      <c r="C3" t="s">
        <v>102</v>
      </c>
    </row>
    <row r="4" spans="2:3" ht="12.75">
      <c r="B4">
        <v>0</v>
      </c>
      <c r="C4">
        <v>1</v>
      </c>
    </row>
    <row r="5" spans="2:3" ht="12.75">
      <c r="B5">
        <v>2.1</v>
      </c>
      <c r="C5">
        <v>0.8098037974956603</v>
      </c>
    </row>
    <row r="6" spans="2:3" ht="12.75">
      <c r="B6">
        <v>3.15</v>
      </c>
      <c r="C6">
        <v>0.8321724739138515</v>
      </c>
    </row>
    <row r="7" spans="2:3" ht="12.75">
      <c r="B7">
        <v>4.2</v>
      </c>
      <c r="C7">
        <v>0.8496317350854953</v>
      </c>
    </row>
    <row r="8" spans="2:3" ht="12.75">
      <c r="B8">
        <v>6.3</v>
      </c>
      <c r="C8">
        <v>0.7953361721573469</v>
      </c>
    </row>
    <row r="9" spans="2:3" ht="12.75">
      <c r="B9">
        <v>8.4</v>
      </c>
      <c r="C9">
        <v>0.6931015935655671</v>
      </c>
    </row>
    <row r="10" spans="2:3" ht="12.75">
      <c r="B10">
        <v>10.5</v>
      </c>
      <c r="C10">
        <v>0.5171953212984642</v>
      </c>
    </row>
    <row r="15" spans="2:3" ht="12.75">
      <c r="B15">
        <v>0</v>
      </c>
      <c r="C15">
        <v>1</v>
      </c>
    </row>
    <row r="16" spans="2:3" ht="12.75">
      <c r="B16">
        <v>1.05</v>
      </c>
      <c r="C16">
        <v>0.6441188334148428</v>
      </c>
    </row>
    <row r="17" spans="2:3" ht="12.75">
      <c r="B17">
        <v>2.1</v>
      </c>
      <c r="C17">
        <v>0.8098037974956603</v>
      </c>
    </row>
    <row r="18" spans="2:3" ht="12.75">
      <c r="B18">
        <v>3.15</v>
      </c>
      <c r="C18">
        <v>0.8321724739138515</v>
      </c>
    </row>
    <row r="19" spans="2:3" ht="12.75">
      <c r="B19">
        <v>4.2</v>
      </c>
      <c r="C19">
        <v>0.8496317350854953</v>
      </c>
    </row>
    <row r="20" spans="2:3" ht="12.75">
      <c r="B20">
        <v>6.3</v>
      </c>
      <c r="C20">
        <v>0.7953361721573469</v>
      </c>
    </row>
    <row r="21" spans="2:3" ht="12.75">
      <c r="B21">
        <v>8.4</v>
      </c>
      <c r="C21">
        <v>0.6931015935655671</v>
      </c>
    </row>
    <row r="22" spans="2:3" ht="12.75">
      <c r="B22">
        <v>10.5</v>
      </c>
      <c r="C22">
        <v>0.5171953212984642</v>
      </c>
    </row>
    <row r="23" spans="2:3" ht="12.75">
      <c r="B23">
        <v>12.7</v>
      </c>
      <c r="C23">
        <v>0.6624947871501631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Helene Z. Hill, Ph.D.</cp:lastModifiedBy>
  <cp:lastPrinted>2001-05-02T21:39:35Z</cp:lastPrinted>
  <dcterms:created xsi:type="dcterms:W3CDTF">2000-10-11T19:44:58Z</dcterms:created>
  <dcterms:modified xsi:type="dcterms:W3CDTF">2002-11-20T21:12:13Z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2.1</vt:lpwstr>
  </property>
</Properties>
</file>