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2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<sst xmlns="http://schemas.openxmlformats.org/spreadsheetml/2006/main" count="170" uniqueCount="106">
  <si>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</si>
  <si>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</si>
  <si>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</si>
  <si>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</si>
  <si>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</si>
  <si>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</si>
  <si>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</si>
  <si>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</si>
  <si>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</si>
  <si>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</si>
  <si>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</si>
  <si>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</si>
  <si>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</si>
  <si>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</si>
  <si>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</si>
  <si>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</si>
  <si>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</si>
  <si>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</si>
  <si>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</si>
  <si>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</si>
  <si>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</si>
  <si>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</si>
  <si>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</si>
  <si>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</si>
  <si>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</si>
  <si>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</si>
  <si>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</si>
  <si>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</si>
  <si>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</si>
  <si>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</si>
  <si>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</si>
  <si>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</si>
  <si>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</si>
  <si>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</si>
  <si>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</si>
  <si>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</si>
  <si>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</si>
  <si>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</si>
  <si>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</si>
  <si>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</si>
  <si>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</si>
  <si>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</si>
  <si>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</si>
  <si>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</si>
  <si>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</si>
  <si>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</si>
  <si>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</si>
  <si>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</si>
  <si>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</si>
  <si>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</si>
  <si>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</si>
  <si>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</si>
  <si>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</si>
  <si>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</si>
  <si>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</si>
  <si>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</si>
  <si>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</si>
  <si>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</si>
  <si>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</si>
  <si>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</si>
  <si>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</si>
  <si>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</si>
  <si>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</si>
  <si>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</si>
  <si>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</si>
  <si>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</si>
  <si>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</si>
  <si>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</si>
  <si>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</si>
  <si>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</si>
  <si>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</si>
  <si>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</si>
  <si>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</si>
  <si>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</si>
  <si>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</si>
  <si>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</si>
  <si>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</si>
  <si>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</si>
  <si>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</si>
  <si>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</si>
  <si>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</si>
  <si>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</si>
  <si>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</si>
  <si>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</si>
  <si>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</si>
  <si>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</si>
  <si>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</si>
  <si>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</si>
  <si>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</si>
  <si>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</si>
  <si>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ML - Dec.,.12, 2000</t>
  </si>
  <si>
    <t>R.Howell, M.Lenarczyk</t>
  </si>
  <si>
    <t>V79</t>
  </si>
  <si>
    <t>None</t>
  </si>
  <si>
    <t>H-3</t>
  </si>
  <si>
    <t>3HTdR</t>
  </si>
  <si>
    <t>NCN/3106-398</t>
  </si>
  <si>
    <t>11/6/00 / 12:00</t>
  </si>
  <si>
    <t>12/14/00 / 19:15</t>
  </si>
  <si>
    <t>EcoLume</t>
  </si>
  <si>
    <t>7/Plastic vial with cup</t>
  </si>
  <si>
    <t>Beckman LS5000TD</t>
  </si>
  <si>
    <t>12/14/00 / 19:30</t>
  </si>
  <si>
    <t>12/15/00 / 9:20</t>
  </si>
  <si>
    <t>12/15/00 / 17:30</t>
  </si>
  <si>
    <t>12/19/00 / 15:43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</si>
</sst>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5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  <font>
      <b/>
      <sz val="11.2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13390272"/>
        <c:axId val="53403585"/>
      </c:scatterChart>
      <c:valAx>
        <c:axId val="1339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03585"/>
        <c:crossesAt val="0.001"/>
        <c:crossBetween val="midCat"/>
        <c:dispUnits/>
      </c:valAx>
      <c:valAx>
        <c:axId val="534035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902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10870218"/>
        <c:axId val="30723099"/>
      </c:scatterChart>
      <c:valAx>
        <c:axId val="10870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23099"/>
        <c:crosses val="autoZero"/>
        <c:crossBetween val="midCat"/>
        <c:dispUnits/>
      </c:valAx>
      <c:valAx>
        <c:axId val="3072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70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0.09331036254063678</c:v>
                </c:pt>
                <c:pt idx="3">
                  <c:v>0.1686029684141709</c:v>
                </c:pt>
                <c:pt idx="4">
                  <c:v>0.339612252286819</c:v>
                </c:pt>
                <c:pt idx="5">
                  <c:v>0.5489016695553152</c:v>
                </c:pt>
                <c:pt idx="6">
                  <c:v>0.9727648610946114</c:v>
                </c:pt>
                <c:pt idx="7">
                  <c:v>1.7424215990657184</c:v>
                </c:pt>
                <c:pt idx="8">
                  <c:v>1.3064830891761958</c:v>
                </c:pt>
                <c:pt idx="9">
                  <c:v>2.4818075392302696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0.8348214285714286</c:v>
                </c:pt>
                <c:pt idx="3">
                  <c:v>0.7857142857142856</c:v>
                </c:pt>
                <c:pt idx="4">
                  <c:v>0.5625</c:v>
                </c:pt>
                <c:pt idx="5">
                  <c:v>0.5714285714285713</c:v>
                </c:pt>
                <c:pt idx="6">
                  <c:v>0.46874999999999994</c:v>
                </c:pt>
                <c:pt idx="7">
                  <c:v>0.2915178571428571</c:v>
                </c:pt>
                <c:pt idx="8">
                  <c:v>0.23526785714285708</c:v>
                </c:pt>
                <c:pt idx="9">
                  <c:v>0.23526785714285708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0.09331036254063678</c:v>
                </c:pt>
                <c:pt idx="3">
                  <c:v>0.1686029684141709</c:v>
                </c:pt>
                <c:pt idx="4">
                  <c:v>0.339612252286819</c:v>
                </c:pt>
                <c:pt idx="5">
                  <c:v>0.5489016695553152</c:v>
                </c:pt>
                <c:pt idx="6">
                  <c:v>0.9727648610946114</c:v>
                </c:pt>
                <c:pt idx="7">
                  <c:v>1.7424215990657184</c:v>
                </c:pt>
                <c:pt idx="8">
                  <c:v>1.3064830891761958</c:v>
                </c:pt>
                <c:pt idx="9">
                  <c:v>2.4818075392302696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0.48723733381149875</c:v>
                </c:pt>
                <c:pt idx="3">
                  <c:v>0.6229331111707308</c:v>
                </c:pt>
                <c:pt idx="4">
                  <c:v>0.41453624586549054</c:v>
                </c:pt>
                <c:pt idx="5">
                  <c:v>0.31520724650495635</c:v>
                </c:pt>
                <c:pt idx="6">
                  <c:v>0.28322740112994343</c:v>
                </c:pt>
                <c:pt idx="7">
                  <c:v>0.19126909874379194</c:v>
                </c:pt>
                <c:pt idx="8">
                  <c:v>0.12310545255025485</c:v>
                </c:pt>
                <c:pt idx="9">
                  <c:v>0.1531847943942574</c:v>
                </c:pt>
              </c:numCache>
            </c:numRef>
          </c:yVal>
          <c:smooth val="0"/>
        </c:ser>
        <c:axId val="8072436"/>
        <c:axId val="5543061"/>
      </c:scatterChart>
      <c:valAx>
        <c:axId val="8072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3061"/>
        <c:crossesAt val="0.001"/>
        <c:crossBetween val="midCat"/>
        <c:dispUnits/>
      </c:valAx>
      <c:valAx>
        <c:axId val="55430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72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1.9921615207167929</c:v>
                </c:pt>
                <c:pt idx="3">
                  <c:v>3.8787525853904516</c:v>
                </c:pt>
                <c:pt idx="4">
                  <c:v>7.93545051436778</c:v>
                </c:pt>
                <c:pt idx="5">
                  <c:v>12.061104044863157</c:v>
                </c:pt>
                <c:pt idx="6">
                  <c:v>15.741680511014746</c:v>
                </c:pt>
                <c:pt idx="7">
                  <c:v>19.85821594544162</c:v>
                </c:pt>
                <c:pt idx="8">
                  <c:v>23.30029721130143</c:v>
                </c:pt>
                <c:pt idx="9">
                  <c:v>30.059085922079134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0.09331036254063678</c:v>
                </c:pt>
                <c:pt idx="3">
                  <c:v>0.1686029684141709</c:v>
                </c:pt>
                <c:pt idx="4">
                  <c:v>0.339612252286819</c:v>
                </c:pt>
                <c:pt idx="5">
                  <c:v>0.5489016695553152</c:v>
                </c:pt>
                <c:pt idx="6">
                  <c:v>0.9727648610946114</c:v>
                </c:pt>
                <c:pt idx="7">
                  <c:v>1.7424215990657184</c:v>
                </c:pt>
                <c:pt idx="8">
                  <c:v>1.3064830891761958</c:v>
                </c:pt>
                <c:pt idx="9">
                  <c:v>2.4818075392302696</c:v>
                </c:pt>
              </c:numCache>
            </c:numRef>
          </c:yVal>
          <c:smooth val="0"/>
        </c:ser>
        <c:axId val="49887550"/>
        <c:axId val="46334767"/>
      </c:scatterChart>
      <c:valAx>
        <c:axId val="4988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334767"/>
        <c:crosses val="autoZero"/>
        <c:crossBetween val="midCat"/>
        <c:dispUnits/>
      </c:valAx>
      <c:valAx>
        <c:axId val="463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49887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1175"/>
          <c:w val="0.86875"/>
          <c:h val="0.823"/>
        </c:manualLayout>
      </c:layout>
      <c:scatterChart>
        <c:scatterStyle val="lineMarker"/>
        <c:varyColors val="0"/>
        <c:ser>
          <c:idx val="2"/>
          <c:order val="0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exp"/>
            <c:forward val="1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y = 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-0.9292x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0.4174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'Unprotected Summary'!$C$47:$C$56</c:f>
              <c:numCache/>
            </c:numRef>
          </c:xVal>
          <c:yVal>
            <c:numRef>
              <c:f>'Unprotected Summary'!$E$47:$E$56</c:f>
              <c:numCache/>
            </c:numRef>
          </c:yVal>
          <c:smooth val="0"/>
        </c:ser>
        <c:ser>
          <c:idx val="0"/>
          <c:order val="1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'Unprotected Summary'!$C$47:$C$55</c:f>
              <c:numCache/>
            </c:numRef>
          </c:xVal>
          <c:yVal>
            <c:numRef>
              <c:f>'Unprotected Summary'!$D$47:$D$55</c:f>
              <c:numCache/>
            </c:numRef>
          </c:yVal>
          <c:smooth val="0"/>
        </c:ser>
        <c:axId val="14359720"/>
        <c:axId val="62128617"/>
      </c:scatterChart>
      <c:valAx>
        <c:axId val="1435972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28617"/>
        <c:crossesAt val="0.001"/>
        <c:crossBetween val="midCat"/>
        <c:dispUnits/>
        <c:minorUnit val="0.02"/>
      </c:valAx>
      <c:valAx>
        <c:axId val="6212861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9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1695"/>
          <c:w val="0.28575"/>
          <c:h val="0.1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39</xdr:row>
      <xdr:rowOff>152400</xdr:rowOff>
    </xdr:from>
    <xdr:to>
      <xdr:col>10</xdr:col>
      <xdr:colOff>571500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3619500" y="6467475"/>
        <a:ext cx="34194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2">
      <selection activeCell="A36" sqref="A3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7">
        <v>36874</v>
      </c>
    </row>
    <row r="2" ht="12.75">
      <c r="B2" s="61"/>
    </row>
    <row r="3" spans="1:2" ht="12.75">
      <c r="A3" s="24" t="s">
        <v>15</v>
      </c>
      <c r="B3" s="48" t="s">
        <v>90</v>
      </c>
    </row>
    <row r="4" spans="1:3" ht="12.75">
      <c r="A4" s="24" t="s">
        <v>16</v>
      </c>
      <c r="B4" s="49" t="s">
        <v>91</v>
      </c>
      <c r="C4" s="20"/>
    </row>
    <row r="5" spans="1:2" ht="12.75">
      <c r="A5" s="24" t="s">
        <v>17</v>
      </c>
      <c r="B5" s="49" t="s">
        <v>92</v>
      </c>
    </row>
    <row r="6" spans="1:2" ht="12.75">
      <c r="A6" s="24" t="s">
        <v>81</v>
      </c>
      <c r="B6" s="49" t="s">
        <v>93</v>
      </c>
    </row>
    <row r="7" spans="1:2" ht="12.75">
      <c r="A7" s="24" t="s">
        <v>21</v>
      </c>
      <c r="B7" s="49" t="s">
        <v>94</v>
      </c>
    </row>
    <row r="8" spans="1:3" ht="12.75">
      <c r="A8" s="24" t="s">
        <v>22</v>
      </c>
      <c r="B8" s="49">
        <v>4500.45</v>
      </c>
      <c r="C8" s="20" t="s">
        <v>72</v>
      </c>
    </row>
    <row r="9" spans="1:3" ht="12.75">
      <c r="A9" s="24" t="s">
        <v>39</v>
      </c>
      <c r="B9" s="49">
        <v>1</v>
      </c>
      <c r="C9" s="20" t="s">
        <v>73</v>
      </c>
    </row>
    <row r="10" spans="1:2" ht="12.75">
      <c r="A10" s="24" t="s">
        <v>18</v>
      </c>
      <c r="B10" s="49" t="s">
        <v>95</v>
      </c>
    </row>
    <row r="11" spans="1:2" ht="12.75">
      <c r="A11" s="24" t="s">
        <v>19</v>
      </c>
      <c r="B11" s="49" t="s">
        <v>96</v>
      </c>
    </row>
    <row r="12" spans="1:4" ht="12.75">
      <c r="A12" s="24" t="s">
        <v>27</v>
      </c>
      <c r="B12" s="52" t="s">
        <v>97</v>
      </c>
      <c r="C12" s="20" t="s">
        <v>25</v>
      </c>
      <c r="D12" s="56">
        <v>37</v>
      </c>
    </row>
    <row r="13" spans="1:4" ht="12.75">
      <c r="A13" s="24" t="s">
        <v>28</v>
      </c>
      <c r="B13" s="52" t="s">
        <v>98</v>
      </c>
      <c r="C13" s="20" t="s">
        <v>89</v>
      </c>
      <c r="D13" s="57">
        <v>38</v>
      </c>
    </row>
    <row r="14" spans="1:4" ht="12.75">
      <c r="A14" s="24" t="s">
        <v>83</v>
      </c>
      <c r="B14" s="50">
        <v>1</v>
      </c>
      <c r="C14" s="20" t="s">
        <v>26</v>
      </c>
      <c r="D14" s="46">
        <f>$D$12*EXP(-0.693*$D$13/($B$8))</f>
        <v>36.784129839100665</v>
      </c>
    </row>
    <row r="15" ht="12.75">
      <c r="B15" s="61"/>
    </row>
    <row r="16" spans="1:2" ht="12.75">
      <c r="A16" s="24" t="s">
        <v>35</v>
      </c>
      <c r="B16" s="48" t="s">
        <v>99</v>
      </c>
    </row>
    <row r="17" spans="1:2" ht="12.75">
      <c r="A17" s="24" t="s">
        <v>62</v>
      </c>
      <c r="B17" s="49">
        <v>6</v>
      </c>
    </row>
    <row r="18" spans="1:2" ht="12.75">
      <c r="A18" s="24" t="s">
        <v>38</v>
      </c>
      <c r="B18" s="49" t="s">
        <v>100</v>
      </c>
    </row>
    <row r="19" spans="1:2" ht="12.75">
      <c r="A19" s="24" t="s">
        <v>36</v>
      </c>
      <c r="B19" s="49" t="s">
        <v>101</v>
      </c>
    </row>
    <row r="20" spans="1:2" ht="12.75">
      <c r="A20" s="24" t="s">
        <v>37</v>
      </c>
      <c r="B20" s="50">
        <v>0.65</v>
      </c>
    </row>
    <row r="21" ht="12.75">
      <c r="B21" s="61"/>
    </row>
    <row r="22" spans="1:2" ht="12.75">
      <c r="A22" s="24" t="s">
        <v>23</v>
      </c>
      <c r="B22" s="51" t="s">
        <v>102</v>
      </c>
    </row>
    <row r="23" spans="1:4" ht="12.75">
      <c r="A23" s="24" t="s">
        <v>24</v>
      </c>
      <c r="B23" s="52" t="s">
        <v>103</v>
      </c>
      <c r="C23" s="20" t="s">
        <v>29</v>
      </c>
      <c r="D23" s="27">
        <v>14</v>
      </c>
    </row>
    <row r="24" spans="1:4" ht="12.75">
      <c r="A24" s="24" t="s">
        <v>69</v>
      </c>
      <c r="B24" s="52" t="s">
        <v>104</v>
      </c>
      <c r="C24" s="20" t="s">
        <v>30</v>
      </c>
      <c r="D24" s="27">
        <v>22</v>
      </c>
    </row>
    <row r="25" spans="1:4" ht="12.75">
      <c r="A25" s="24" t="s">
        <v>70</v>
      </c>
      <c r="B25" s="52" t="s">
        <v>105</v>
      </c>
      <c r="C25" s="20" t="s">
        <v>71</v>
      </c>
      <c r="D25" s="27">
        <v>116</v>
      </c>
    </row>
    <row r="26" spans="1:2" ht="12.75">
      <c r="A26" s="24" t="s">
        <v>58</v>
      </c>
      <c r="B26" s="49">
        <v>30</v>
      </c>
    </row>
    <row r="27" spans="1:2" ht="12.75">
      <c r="A27" s="24" t="s">
        <v>59</v>
      </c>
      <c r="B27" s="50">
        <v>100</v>
      </c>
    </row>
    <row r="28" ht="12.75">
      <c r="B28" s="61"/>
    </row>
    <row r="29" spans="1:2" ht="12.75">
      <c r="A29" s="24" t="s">
        <v>60</v>
      </c>
      <c r="B29" s="48">
        <v>100</v>
      </c>
    </row>
    <row r="30" spans="1:5" ht="12.75">
      <c r="A30" s="24" t="s">
        <v>61</v>
      </c>
      <c r="B30" s="50">
        <v>500</v>
      </c>
      <c r="E30" s="20" t="s">
        <v>82</v>
      </c>
    </row>
    <row r="31" spans="1:6" ht="12.75">
      <c r="A31" s="24" t="s">
        <v>31</v>
      </c>
      <c r="B31" s="60">
        <f>AVERAGE(D32:F32)</f>
        <v>5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5</v>
      </c>
      <c r="E32" s="54">
        <v>5</v>
      </c>
      <c r="F32" s="55">
        <v>5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22" sqref="D22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 - Dec.,.12,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29">
        <f>Parameters!$B$1</f>
        <v>36874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0"/>
      <c r="C7" s="30" t="s">
        <v>40</v>
      </c>
      <c r="D7" s="30"/>
      <c r="E7" s="30" t="s">
        <v>9</v>
      </c>
      <c r="F7" s="30" t="s">
        <v>9</v>
      </c>
      <c r="G7" s="30" t="s">
        <v>6</v>
      </c>
      <c r="H7" s="30" t="s">
        <v>74</v>
      </c>
      <c r="I7" s="30" t="s">
        <v>75</v>
      </c>
      <c r="J7" s="30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0"/>
      <c r="C8" s="30" t="s">
        <v>2</v>
      </c>
      <c r="D8" s="30"/>
      <c r="E8" s="30" t="s">
        <v>8</v>
      </c>
      <c r="F8" s="30" t="s">
        <v>10</v>
      </c>
      <c r="G8" s="30" t="s">
        <v>41</v>
      </c>
      <c r="H8" s="31" t="s">
        <v>76</v>
      </c>
      <c r="I8" s="31" t="s">
        <v>77</v>
      </c>
      <c r="J8" s="30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0" t="s">
        <v>4</v>
      </c>
      <c r="C9" s="30" t="s">
        <v>3</v>
      </c>
      <c r="D9" s="30" t="s">
        <v>5</v>
      </c>
      <c r="E9" s="30"/>
      <c r="F9" s="30" t="s">
        <v>11</v>
      </c>
      <c r="G9" s="30"/>
      <c r="H9" s="30" t="s">
        <v>7</v>
      </c>
      <c r="I9" s="30" t="s">
        <v>42</v>
      </c>
      <c r="J9" s="30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0"/>
      <c r="C10" s="30"/>
      <c r="D10" s="30"/>
      <c r="E10" s="30"/>
      <c r="F10" s="30"/>
      <c r="G10" s="30"/>
      <c r="H10" s="30"/>
      <c r="I10" s="30" t="s">
        <v>43</v>
      </c>
      <c r="J10" s="30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2">
        <v>1</v>
      </c>
      <c r="B13" s="28">
        <v>13</v>
      </c>
      <c r="C13" s="28">
        <v>7</v>
      </c>
      <c r="D13" s="28">
        <v>6</v>
      </c>
      <c r="E13" s="33">
        <f>AVERAGE(B13:D13,B14:D14)</f>
        <v>8.833333333333334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O13" s="2"/>
    </row>
    <row r="14" spans="1:15" ht="12.75">
      <c r="A14" s="32">
        <v>2</v>
      </c>
      <c r="B14" s="28">
        <v>11</v>
      </c>
      <c r="C14" s="28">
        <v>8</v>
      </c>
      <c r="D14" s="28">
        <v>8</v>
      </c>
      <c r="E14" s="33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O14" s="2"/>
    </row>
    <row r="15" spans="1:18" ht="12.75">
      <c r="A15" s="20">
        <v>3</v>
      </c>
      <c r="B15" s="65">
        <v>2471</v>
      </c>
      <c r="C15" s="65">
        <v>2187</v>
      </c>
      <c r="D15" s="65">
        <v>2360</v>
      </c>
      <c r="E15" s="34">
        <f>AVERAGE(B15:D15)</f>
        <v>2339.3333333333335</v>
      </c>
      <c r="F15" s="35">
        <f>(E15-E13)</f>
        <v>2330.5</v>
      </c>
      <c r="G15" s="34">
        <f>F15/(Parameters!$B$9*Parameters!$B$20)</f>
        <v>3585.3846153846152</v>
      </c>
      <c r="H15" s="36">
        <f>G15/(37000*60*Parameters!$B$26/1000)</f>
        <v>0.05383460383460383</v>
      </c>
      <c r="I15" s="36">
        <f>H15/EXP(-0.693*Parameters!$D$24/(Parameters!$B$8*24))</f>
        <v>0.053842203262616024</v>
      </c>
      <c r="J15" s="36">
        <f>I15*37</f>
        <v>1.9921615207167929</v>
      </c>
      <c r="O15" s="2"/>
      <c r="P15" s="9"/>
      <c r="Q15" s="2"/>
      <c r="R15" s="1"/>
    </row>
    <row r="16" spans="1:18" ht="12.75">
      <c r="A16" s="20">
        <v>4</v>
      </c>
      <c r="B16" s="65">
        <v>4722</v>
      </c>
      <c r="C16" s="65">
        <v>4529</v>
      </c>
      <c r="D16" s="65">
        <v>4388</v>
      </c>
      <c r="E16" s="34">
        <f aca="true" t="shared" si="0" ref="E16:E22">AVERAGE(B16:D16)</f>
        <v>4546.333333333333</v>
      </c>
      <c r="F16" s="35">
        <f>E16-E13</f>
        <v>4537.5</v>
      </c>
      <c r="G16" s="34">
        <f>F16/(Parameters!$B$9*Parameters!$B$20)</f>
        <v>6980.7692307692305</v>
      </c>
      <c r="H16" s="36">
        <f>G16/(37000*60*Parameters!$B$26/1000)</f>
        <v>0.10481635481635482</v>
      </c>
      <c r="I16" s="36">
        <f>H16/EXP(-0.693*Parameters!$D$24/(Parameters!$B$8*24))</f>
        <v>0.1048311509564987</v>
      </c>
      <c r="J16" s="36">
        <f aca="true" t="shared" si="1" ref="J16:J22">I16*37</f>
        <v>3.8787525853904516</v>
      </c>
      <c r="O16" s="2"/>
      <c r="P16" s="9"/>
      <c r="Q16" s="2"/>
      <c r="R16" s="1"/>
    </row>
    <row r="17" spans="1:18" ht="12.75">
      <c r="A17" s="20">
        <v>5</v>
      </c>
      <c r="B17" s="65">
        <v>9332</v>
      </c>
      <c r="C17" s="65">
        <v>9191</v>
      </c>
      <c r="D17" s="65">
        <v>9353</v>
      </c>
      <c r="E17" s="34">
        <f t="shared" si="0"/>
        <v>9292</v>
      </c>
      <c r="F17" s="35">
        <f>E17-E13</f>
        <v>9283.166666666666</v>
      </c>
      <c r="G17" s="34">
        <f>F17/(Parameters!$B$9*Parameters!$B$20)</f>
        <v>14281.794871794871</v>
      </c>
      <c r="H17" s="36">
        <f>G17/(37000*60*Parameters!$B$26/1000)</f>
        <v>0.21444136444136444</v>
      </c>
      <c r="I17" s="36">
        <f>H17/EXP(-0.693*Parameters!$D$24/(Parameters!$B$8*24))</f>
        <v>0.2144716355234535</v>
      </c>
      <c r="J17" s="36">
        <f t="shared" si="1"/>
        <v>7.93545051436778</v>
      </c>
      <c r="O17" s="2"/>
      <c r="P17" s="9"/>
      <c r="Q17" s="2"/>
      <c r="R17" s="1"/>
    </row>
    <row r="18" spans="1:18" ht="12.75">
      <c r="A18" s="20">
        <v>6</v>
      </c>
      <c r="B18" s="65">
        <v>13704</v>
      </c>
      <c r="C18" s="65">
        <v>14474</v>
      </c>
      <c r="D18" s="65">
        <v>14177</v>
      </c>
      <c r="E18" s="34">
        <f t="shared" si="0"/>
        <v>14118.333333333334</v>
      </c>
      <c r="F18" s="35">
        <f>E18-E13</f>
        <v>14109.5</v>
      </c>
      <c r="G18" s="34">
        <f>F18/(Parameters!$B$9*Parameters!$B$20)</f>
        <v>21706.923076923074</v>
      </c>
      <c r="H18" s="36">
        <f>G18/(37000*60*Parameters!$B$26/1000)</f>
        <v>0.3259297759297759</v>
      </c>
      <c r="I18" s="36">
        <f>H18/EXP(-0.693*Parameters!$D$24/(Parameters!$B$8*24))</f>
        <v>0.32597578499630153</v>
      </c>
      <c r="J18" s="36">
        <f t="shared" si="1"/>
        <v>12.061104044863157</v>
      </c>
      <c r="O18" s="2"/>
      <c r="P18" s="9"/>
      <c r="Q18" s="2"/>
      <c r="R18" s="1"/>
    </row>
    <row r="19" spans="1:18" ht="12.75">
      <c r="A19" s="20">
        <v>7</v>
      </c>
      <c r="B19" s="65">
        <v>18887</v>
      </c>
      <c r="C19" s="65">
        <v>18214</v>
      </c>
      <c r="D19" s="65">
        <v>18171</v>
      </c>
      <c r="E19" s="34">
        <f t="shared" si="0"/>
        <v>18424</v>
      </c>
      <c r="F19" s="35">
        <f>E19-E13</f>
        <v>18415.166666666668</v>
      </c>
      <c r="G19" s="34">
        <f>F19/(Parameters!$B$9*Parameters!$B$20)</f>
        <v>28331.02564102564</v>
      </c>
      <c r="H19" s="36">
        <f>G19/(37000*60*Parameters!$B$26/1000)</f>
        <v>0.4253907753907754</v>
      </c>
      <c r="I19" s="36">
        <f>H19/EXP(-0.693*Parameters!$D$24/(Parameters!$B$8*24))</f>
        <v>0.42545082462202016</v>
      </c>
      <c r="J19" s="36">
        <f t="shared" si="1"/>
        <v>15.741680511014746</v>
      </c>
      <c r="O19" s="2"/>
      <c r="P19" s="9"/>
      <c r="Q19" s="2"/>
      <c r="R19" s="1"/>
    </row>
    <row r="20" spans="1:18" ht="12.75">
      <c r="A20" s="20">
        <v>8</v>
      </c>
      <c r="B20" s="65">
        <v>24124</v>
      </c>
      <c r="C20" s="65">
        <v>23073</v>
      </c>
      <c r="D20" s="65">
        <v>22522</v>
      </c>
      <c r="E20" s="34">
        <f t="shared" si="0"/>
        <v>23239.666666666668</v>
      </c>
      <c r="F20" s="35">
        <f>E20-E13</f>
        <v>23230.833333333336</v>
      </c>
      <c r="G20" s="34">
        <f>F20/(Parameters!$B$9*Parameters!$B$20)</f>
        <v>35739.74358974359</v>
      </c>
      <c r="H20" s="36">
        <f>G20/(37000*60*Parameters!$B$26/1000)</f>
        <v>0.5366327866327867</v>
      </c>
      <c r="I20" s="36">
        <f>H20/EXP(-0.693*Parameters!$D$24/(Parameters!$B$8*24))</f>
        <v>0.5367085390659898</v>
      </c>
      <c r="J20" s="36">
        <f t="shared" si="1"/>
        <v>19.85821594544162</v>
      </c>
      <c r="O20" s="2"/>
      <c r="P20" s="9"/>
      <c r="Q20" s="2"/>
      <c r="R20" s="1"/>
    </row>
    <row r="21" spans="1:18" ht="12.75">
      <c r="A21" s="20">
        <v>9</v>
      </c>
      <c r="B21" s="65">
        <v>28187</v>
      </c>
      <c r="C21" s="65">
        <v>26995</v>
      </c>
      <c r="D21" s="65">
        <v>26617</v>
      </c>
      <c r="E21" s="34">
        <f t="shared" si="0"/>
        <v>27266.333333333332</v>
      </c>
      <c r="F21" s="35">
        <f>E21-E13</f>
        <v>27257.5</v>
      </c>
      <c r="G21" s="34">
        <f>F21/(Parameters!$B$9*Parameters!$B$20)</f>
        <v>41934.61538461538</v>
      </c>
      <c r="H21" s="36">
        <f>G21/(37000*60*Parameters!$B$26/1000)</f>
        <v>0.6296488796488796</v>
      </c>
      <c r="I21" s="36">
        <f>H21/EXP(-0.693*Parameters!$D$24/(Parameters!$B$8*24))</f>
        <v>0.6297377624676063</v>
      </c>
      <c r="J21" s="36">
        <f t="shared" si="1"/>
        <v>23.30029721130143</v>
      </c>
      <c r="O21" s="2"/>
      <c r="P21" s="9"/>
      <c r="Q21" s="2"/>
      <c r="R21" s="1"/>
    </row>
    <row r="22" spans="1:18" ht="12.75">
      <c r="A22" s="20">
        <v>10</v>
      </c>
      <c r="B22" s="65">
        <v>36193</v>
      </c>
      <c r="C22" s="65">
        <v>34383</v>
      </c>
      <c r="D22" s="65">
        <v>34943</v>
      </c>
      <c r="E22" s="34">
        <f t="shared" si="0"/>
        <v>35173</v>
      </c>
      <c r="F22" s="35">
        <f>E22-E13</f>
        <v>35164.166666666664</v>
      </c>
      <c r="G22" s="34">
        <f>F22/(Parameters!$B$9*Parameters!$B$20)</f>
        <v>54098.717948717946</v>
      </c>
      <c r="H22" s="36">
        <f>G22/(37000*60*Parameters!$B$26/1000)</f>
        <v>0.8122930622930622</v>
      </c>
      <c r="I22" s="36">
        <f>H22/EXP(-0.693*Parameters!$D$24/(Parameters!$B$8*24))</f>
        <v>0.8124077276237603</v>
      </c>
      <c r="J22" s="36">
        <f t="shared" si="1"/>
        <v>30.059085922079134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 - Dec.,.12,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7">
        <f>Parameters!$B$1</f>
        <v>36874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0"/>
      <c r="C7" s="30" t="s">
        <v>46</v>
      </c>
      <c r="D7" s="30"/>
      <c r="E7" s="38" t="s">
        <v>9</v>
      </c>
      <c r="F7" s="38" t="s">
        <v>9</v>
      </c>
      <c r="G7" s="38" t="s">
        <v>6</v>
      </c>
      <c r="H7" s="30" t="s">
        <v>78</v>
      </c>
      <c r="I7" s="30" t="s">
        <v>79</v>
      </c>
      <c r="J7" s="30" t="s">
        <v>79</v>
      </c>
    </row>
    <row r="8" spans="2:10" ht="12.75">
      <c r="B8" s="30"/>
      <c r="C8" s="30" t="s">
        <v>2</v>
      </c>
      <c r="D8" s="30"/>
      <c r="E8" s="38" t="s">
        <v>8</v>
      </c>
      <c r="F8" s="30" t="s">
        <v>10</v>
      </c>
      <c r="G8" s="30" t="s">
        <v>41</v>
      </c>
      <c r="H8" s="31" t="s">
        <v>76</v>
      </c>
      <c r="I8" s="31" t="s">
        <v>80</v>
      </c>
      <c r="J8" s="30" t="s">
        <v>57</v>
      </c>
    </row>
    <row r="9" spans="2:10" ht="12.75">
      <c r="B9" s="30" t="s">
        <v>4</v>
      </c>
      <c r="C9" s="30" t="s">
        <v>3</v>
      </c>
      <c r="D9" s="30" t="s">
        <v>5</v>
      </c>
      <c r="E9" s="38"/>
      <c r="F9" s="30" t="s">
        <v>11</v>
      </c>
      <c r="G9" s="38"/>
      <c r="H9" s="30" t="s">
        <v>7</v>
      </c>
      <c r="I9" s="30" t="s">
        <v>47</v>
      </c>
      <c r="J9" s="30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0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2">
        <v>1</v>
      </c>
      <c r="B13" s="28">
        <v>9</v>
      </c>
      <c r="C13" s="28">
        <v>9</v>
      </c>
      <c r="D13" s="28">
        <v>11</v>
      </c>
      <c r="E13" s="33">
        <f>AVERAGE(B14:D14)</f>
        <v>9.666666666666666</v>
      </c>
      <c r="F13" s="33">
        <v>0</v>
      </c>
      <c r="G13" s="39">
        <v>0</v>
      </c>
      <c r="H13" s="40">
        <v>0</v>
      </c>
      <c r="I13" s="39">
        <v>0</v>
      </c>
      <c r="J13" s="58">
        <f>I13*37</f>
        <v>0</v>
      </c>
    </row>
    <row r="14" spans="1:10" ht="12.75">
      <c r="A14" s="32">
        <v>2</v>
      </c>
      <c r="B14" s="28">
        <v>9</v>
      </c>
      <c r="C14" s="28">
        <v>9</v>
      </c>
      <c r="D14" s="28">
        <v>11</v>
      </c>
      <c r="E14" s="33"/>
      <c r="F14" s="33">
        <v>0</v>
      </c>
      <c r="G14" s="39">
        <v>0</v>
      </c>
      <c r="H14" s="40">
        <v>0</v>
      </c>
      <c r="I14" s="39">
        <v>0</v>
      </c>
      <c r="J14" s="58">
        <f aca="true" t="shared" si="0" ref="J14:J22">I14*37</f>
        <v>0</v>
      </c>
    </row>
    <row r="15" spans="1:10" ht="12.75">
      <c r="A15" s="20">
        <v>3</v>
      </c>
      <c r="B15" s="26">
        <v>698</v>
      </c>
      <c r="C15" s="26">
        <v>594</v>
      </c>
      <c r="D15" s="26">
        <v>736</v>
      </c>
      <c r="E15" s="34">
        <f aca="true" t="shared" si="1" ref="E15:E22">AVERAGE(B15:D15)</f>
        <v>676</v>
      </c>
      <c r="F15" s="34">
        <f>E15-$E$13</f>
        <v>666.3333333333334</v>
      </c>
      <c r="G15" s="34">
        <f>F15/(Parameters!$B$9*Parameters!$B$20)</f>
        <v>1025.128205128205</v>
      </c>
      <c r="H15" s="41">
        <f>G15/(37000*60*Parameters!$B$27/1000)</f>
        <v>0.004617694617694617</v>
      </c>
      <c r="I15" s="41">
        <f>H15/EXP(-0.693*(Parameters!$D$25)/(Parameters!$B$8*24))</f>
        <v>0.0046211326572827794</v>
      </c>
      <c r="J15" s="36">
        <f t="shared" si="0"/>
        <v>0.17098190831946283</v>
      </c>
    </row>
    <row r="16" spans="1:10" ht="12.75">
      <c r="A16" s="20">
        <v>4</v>
      </c>
      <c r="B16" s="65">
        <v>985</v>
      </c>
      <c r="C16" s="65">
        <v>959</v>
      </c>
      <c r="D16" s="65">
        <v>744</v>
      </c>
      <c r="E16" s="34">
        <f t="shared" si="1"/>
        <v>896</v>
      </c>
      <c r="F16" s="34">
        <f aca="true" t="shared" si="2" ref="F16:F22">E16-$E$13</f>
        <v>886.3333333333334</v>
      </c>
      <c r="G16" s="34">
        <f>F16/(Parameters!$B$9*Parameters!$B$20)</f>
        <v>1363.5897435897436</v>
      </c>
      <c r="H16" s="41">
        <f>G16/(37000*60*Parameters!$B$27/1000)</f>
        <v>0.006142296142296143</v>
      </c>
      <c r="I16" s="41">
        <f>H16/EXP(-0.693*(Parameters!$D$25)/(Parameters!$B$8*24))</f>
        <v>0.006146869302508711</v>
      </c>
      <c r="J16" s="36">
        <f t="shared" si="0"/>
        <v>0.2274341641928223</v>
      </c>
    </row>
    <row r="17" spans="1:10" ht="12.75">
      <c r="A17" s="20">
        <v>5</v>
      </c>
      <c r="B17" s="65">
        <v>2145</v>
      </c>
      <c r="C17" s="65">
        <v>1849</v>
      </c>
      <c r="D17" s="65">
        <v>1797</v>
      </c>
      <c r="E17" s="34">
        <f t="shared" si="1"/>
        <v>1930.3333333333333</v>
      </c>
      <c r="F17" s="34">
        <f t="shared" si="2"/>
        <v>1920.6666666666665</v>
      </c>
      <c r="G17" s="34">
        <f>F17/(Parameters!$B$9*Parameters!$B$20)</f>
        <v>2954.8717948717945</v>
      </c>
      <c r="H17" s="41">
        <f>G17/(37000*60*Parameters!$B$27/1000)</f>
        <v>0.013310233310233309</v>
      </c>
      <c r="I17" s="41">
        <f>H17/EXP(-0.693*(Parameters!$D$25)/(Parameters!$B$8*24))</f>
        <v>0.013320143257260319</v>
      </c>
      <c r="J17" s="36">
        <f t="shared" si="0"/>
        <v>0.4928453005186318</v>
      </c>
    </row>
    <row r="18" spans="1:10" ht="12.75">
      <c r="A18" s="20">
        <v>6</v>
      </c>
      <c r="B18" s="65">
        <v>5609</v>
      </c>
      <c r="C18" s="65">
        <v>3588</v>
      </c>
      <c r="D18" s="65">
        <v>3274</v>
      </c>
      <c r="E18" s="34">
        <f t="shared" si="1"/>
        <v>4157</v>
      </c>
      <c r="F18" s="34">
        <f t="shared" si="2"/>
        <v>4147.333333333333</v>
      </c>
      <c r="G18" s="34">
        <f>F18/(Parameters!$B$9*Parameters!$B$20)</f>
        <v>6380.512820512819</v>
      </c>
      <c r="H18" s="41">
        <f>G18/(37000*60*Parameters!$B$27/1000)</f>
        <v>0.028741048741048734</v>
      </c>
      <c r="I18" s="41">
        <f>H18/EXP(-0.693*(Parameters!$D$25)/(Parameters!$B$8*24))</f>
        <v>0.028762447484698517</v>
      </c>
      <c r="J18" s="36">
        <f t="shared" si="0"/>
        <v>1.0642105569338451</v>
      </c>
    </row>
    <row r="19" spans="1:10" ht="12.75">
      <c r="A19" s="20">
        <v>7</v>
      </c>
      <c r="B19" s="65">
        <v>6843</v>
      </c>
      <c r="C19" s="65">
        <v>7024</v>
      </c>
      <c r="D19" s="65">
        <v>6292</v>
      </c>
      <c r="E19" s="34">
        <f t="shared" si="1"/>
        <v>6719.666666666667</v>
      </c>
      <c r="F19" s="34">
        <f t="shared" si="2"/>
        <v>6710</v>
      </c>
      <c r="G19" s="34">
        <f>F19/(Parameters!$B$9*Parameters!$B$20)</f>
        <v>10323.076923076922</v>
      </c>
      <c r="H19" s="41">
        <f>G19/(37000*60*Parameters!$B$27/1000)</f>
        <v>0.0465003465003465</v>
      </c>
      <c r="I19" s="41">
        <f>H19/EXP(-0.693*(Parameters!$D$25)/(Parameters!$B$8*24))</f>
        <v>0.04653496767939087</v>
      </c>
      <c r="J19" s="36">
        <f t="shared" si="0"/>
        <v>1.7217938041374623</v>
      </c>
    </row>
    <row r="20" spans="1:10" ht="12.75">
      <c r="A20" s="20">
        <v>8</v>
      </c>
      <c r="B20" s="65">
        <v>14321</v>
      </c>
      <c r="C20" s="65">
        <v>11233</v>
      </c>
      <c r="D20" s="65">
        <v>7680</v>
      </c>
      <c r="E20" s="34">
        <f t="shared" si="1"/>
        <v>11078</v>
      </c>
      <c r="F20" s="34">
        <f t="shared" si="2"/>
        <v>11068.333333333334</v>
      </c>
      <c r="G20" s="34">
        <f>F20/(Parameters!$B$9*Parameters!$B$20)</f>
        <v>17028.20512820513</v>
      </c>
      <c r="H20" s="41">
        <f>G20/(37000*60*Parameters!$B$27/1000)</f>
        <v>0.07670362670362671</v>
      </c>
      <c r="I20" s="41">
        <f>H20/EXP(-0.693*(Parameters!$D$25)/(Parameters!$B$8*24))</f>
        <v>0.07676073531019247</v>
      </c>
      <c r="J20" s="36">
        <f t="shared" si="0"/>
        <v>2.840147206477121</v>
      </c>
    </row>
    <row r="21" spans="1:10" ht="12.75">
      <c r="A21" s="20">
        <v>9</v>
      </c>
      <c r="B21" s="65">
        <v>10189</v>
      </c>
      <c r="C21" s="65">
        <v>11626</v>
      </c>
      <c r="D21" s="65">
        <v>9433</v>
      </c>
      <c r="E21" s="34">
        <f t="shared" si="1"/>
        <v>10416</v>
      </c>
      <c r="F21" s="34">
        <f t="shared" si="2"/>
        <v>10406.333333333334</v>
      </c>
      <c r="G21" s="34">
        <f>F21/(Parameters!$B$9*Parameters!$B$20)</f>
        <v>16009.74358974359</v>
      </c>
      <c r="H21" s="41">
        <f>G21/(37000*60*Parameters!$B$27/1000)</f>
        <v>0.07211596211596212</v>
      </c>
      <c r="I21" s="41">
        <f>H21/EXP(-0.693*(Parameters!$D$25)/(Parameters!$B$8*24))</f>
        <v>0.07216965504137625</v>
      </c>
      <c r="J21" s="36">
        <f t="shared" si="0"/>
        <v>2.670277236530921</v>
      </c>
    </row>
    <row r="22" spans="1:10" ht="12.75">
      <c r="A22" s="20">
        <v>10</v>
      </c>
      <c r="B22" s="65">
        <v>17452</v>
      </c>
      <c r="C22" s="65">
        <v>13093</v>
      </c>
      <c r="D22" s="65">
        <v>17143</v>
      </c>
      <c r="E22" s="34">
        <f t="shared" si="1"/>
        <v>15896</v>
      </c>
      <c r="F22" s="34">
        <f t="shared" si="2"/>
        <v>15886.333333333334</v>
      </c>
      <c r="G22" s="34">
        <f>F22/(Parameters!$B$9*Parameters!$B$20)</f>
        <v>24440.51282051282</v>
      </c>
      <c r="H22" s="41">
        <f>G22/(37000*60*Parameters!$B$27/1000)</f>
        <v>0.1100924000924001</v>
      </c>
      <c r="I22" s="41">
        <f>H22/EXP(-0.693*(Parameters!$D$25)/(Parameters!$B$8*24))</f>
        <v>0.11017436784064033</v>
      </c>
      <c r="J22" s="36">
        <f t="shared" si="0"/>
        <v>4.0764516101036925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2">
      <selection activeCell="C33" sqref="C33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ML - Dec.,.12, 2000</v>
      </c>
      <c r="D3" s="20"/>
      <c r="E3" s="20"/>
      <c r="F3" s="20"/>
    </row>
    <row r="4" spans="1:6" ht="12.75">
      <c r="A4" s="62" t="s">
        <v>12</v>
      </c>
      <c r="B4" s="20"/>
      <c r="C4" s="42">
        <f>Parameters!$B$1</f>
        <v>36874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0" t="s">
        <v>4</v>
      </c>
      <c r="C8" s="30" t="s">
        <v>3</v>
      </c>
      <c r="D8" s="30" t="s">
        <v>5</v>
      </c>
      <c r="E8" s="20"/>
      <c r="F8" s="20"/>
      <c r="G8" s="30" t="s">
        <v>85</v>
      </c>
      <c r="H8" s="30" t="s">
        <v>86</v>
      </c>
      <c r="I8" s="30" t="s">
        <v>5</v>
      </c>
      <c r="J8" s="30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2714</v>
      </c>
      <c r="C13" s="28">
        <v>2620</v>
      </c>
      <c r="D13" s="28">
        <v>2702</v>
      </c>
      <c r="E13" s="33">
        <f>IF(Parameters!$B$33="Yes",AVERAGE(G13:J13),AVERAGE(B13:D13))</f>
        <v>2678.6666666666665</v>
      </c>
      <c r="F13" s="33">
        <f>IF(Parameters!$B$33="Yes",E13*10000,(E13-Parameters!$B$31)*Parameters!$B$32*(100/Parameters!$B$29)*(500/Parameters!$B$30))</f>
        <v>1069466.6666666665</v>
      </c>
      <c r="G13" s="26"/>
      <c r="H13" s="26"/>
      <c r="I13" s="26"/>
      <c r="J13" s="26"/>
    </row>
    <row r="14" spans="1:10" ht="12.75">
      <c r="A14" s="63">
        <v>2</v>
      </c>
      <c r="B14" s="28">
        <v>2714</v>
      </c>
      <c r="C14" s="28">
        <v>2620</v>
      </c>
      <c r="D14" s="28">
        <v>2702</v>
      </c>
      <c r="E14" s="33">
        <f>IF(Parameters!$B$33="Yes",AVERAGE(G14:J14),AVERAGE(B14:D14))</f>
        <v>2678.6666666666665</v>
      </c>
      <c r="F14" s="33">
        <f>IF(Parameters!$B$33="Yes",E14*10000,(E14-Parameters!$B$31)*Parameters!$B$32*(100/Parameters!$B$29)*(500/Parameters!$B$30))</f>
        <v>1069466.6666666665</v>
      </c>
      <c r="G14" s="26"/>
      <c r="H14" s="26"/>
      <c r="I14" s="26"/>
      <c r="J14" s="26"/>
    </row>
    <row r="15" spans="1:10" ht="12.75">
      <c r="A15" s="62">
        <v>3</v>
      </c>
      <c r="B15" s="65">
        <v>4688</v>
      </c>
      <c r="C15" s="65">
        <v>4336</v>
      </c>
      <c r="D15" s="65">
        <v>4734</v>
      </c>
      <c r="E15" s="34">
        <f>IF(Parameters!$B$33="Yes",AVERAGE(G15:J15),AVERAGE(B15:D15))</f>
        <v>4586</v>
      </c>
      <c r="F15" s="34">
        <f>IF(Parameters!$B$33="Yes",E15*10000,(E15-Parameters!$B$31)*Parameters!$B$32*(100/Parameters!$B$29)*(500/Parameters!$B$30))</f>
        <v>1832400</v>
      </c>
      <c r="G15" s="26"/>
      <c r="H15" s="26"/>
      <c r="I15" s="26"/>
      <c r="J15" s="26"/>
    </row>
    <row r="16" spans="1:10" ht="12.75">
      <c r="A16" s="62">
        <v>4</v>
      </c>
      <c r="B16" s="65">
        <v>3389</v>
      </c>
      <c r="C16" s="65">
        <v>3356</v>
      </c>
      <c r="D16" s="65">
        <v>3387</v>
      </c>
      <c r="E16" s="34">
        <f>IF(Parameters!$B$33="Yes",AVERAGE(G16:J16),AVERAGE(B16:D16))</f>
        <v>3377.3333333333335</v>
      </c>
      <c r="F16" s="34">
        <f>IF(Parameters!$B$33="Yes",E16*10000,(E16-Parameters!$B$31)*Parameters!$B$32*(100/Parameters!$B$29)*(500/Parameters!$B$30))</f>
        <v>1348933.3333333335</v>
      </c>
      <c r="G16" s="26"/>
      <c r="H16" s="26"/>
      <c r="I16" s="26"/>
      <c r="J16" s="26"/>
    </row>
    <row r="17" spans="1:10" ht="12.75">
      <c r="A17" s="62">
        <v>5</v>
      </c>
      <c r="B17" s="65">
        <v>3674</v>
      </c>
      <c r="C17" s="65">
        <v>3592</v>
      </c>
      <c r="D17" s="65">
        <v>3633</v>
      </c>
      <c r="E17" s="34">
        <f>IF(Parameters!$B$33="Yes",AVERAGE(G17:J17),AVERAGE(B17:D17))</f>
        <v>3633</v>
      </c>
      <c r="F17" s="34">
        <f>IF(Parameters!$B$33="Yes",E17*10000,(E17-Parameters!$B$31)*Parameters!$B$32*(100/Parameters!$B$29)*(500/Parameters!$B$30))</f>
        <v>1451200</v>
      </c>
      <c r="G17" s="26"/>
      <c r="H17" s="26"/>
      <c r="I17" s="26"/>
      <c r="J17" s="26"/>
    </row>
    <row r="18" spans="1:10" ht="12.75">
      <c r="A18" s="62">
        <v>6</v>
      </c>
      <c r="B18" s="65">
        <v>4846</v>
      </c>
      <c r="C18" s="65">
        <v>4822</v>
      </c>
      <c r="D18" s="65">
        <v>4888</v>
      </c>
      <c r="E18" s="34">
        <f>IF(Parameters!$B$33="Yes",AVERAGE(G18:J18),AVERAGE(B18:D18))</f>
        <v>4852</v>
      </c>
      <c r="F18" s="34">
        <f>IF(Parameters!$B$33="Yes",E18*10000,(E18-Parameters!$B$31)*Parameters!$B$32*(100/Parameters!$B$29)*(500/Parameters!$B$30))</f>
        <v>1938800</v>
      </c>
      <c r="G18" s="26"/>
      <c r="H18" s="26"/>
      <c r="I18" s="26"/>
      <c r="J18" s="26"/>
    </row>
    <row r="19" spans="1:10" ht="12.75">
      <c r="A19" s="62">
        <v>7</v>
      </c>
      <c r="B19" s="65">
        <v>4414</v>
      </c>
      <c r="C19" s="65">
        <v>4549</v>
      </c>
      <c r="D19" s="65">
        <v>4327</v>
      </c>
      <c r="E19" s="34">
        <f>IF(Parameters!$B$33="Yes",AVERAGE(G19:J19),AVERAGE(B19:D19))</f>
        <v>4430</v>
      </c>
      <c r="F19" s="34">
        <f>IF(Parameters!$B$33="Yes",E19*10000,(E19-Parameters!$B$31)*Parameters!$B$32*(100/Parameters!$B$29)*(500/Parameters!$B$30))</f>
        <v>1770000</v>
      </c>
      <c r="G19" s="26"/>
      <c r="H19" s="26"/>
      <c r="I19" s="26"/>
      <c r="J19" s="26"/>
    </row>
    <row r="20" spans="1:10" ht="12.75">
      <c r="A20" s="62">
        <v>8</v>
      </c>
      <c r="B20" s="65">
        <v>4116</v>
      </c>
      <c r="C20" s="65">
        <v>4010</v>
      </c>
      <c r="D20" s="65">
        <v>4114</v>
      </c>
      <c r="E20" s="34">
        <f>IF(Parameters!$B$33="Yes",AVERAGE(G20:J20),AVERAGE(B20:D20))</f>
        <v>4080</v>
      </c>
      <c r="F20" s="34">
        <f>IF(Parameters!$B$33="Yes",E20*10000,(E20-Parameters!$B$31)*Parameters!$B$32*(100/Parameters!$B$29)*(500/Parameters!$B$30))</f>
        <v>1630000</v>
      </c>
      <c r="G20" s="26"/>
      <c r="H20" s="26"/>
      <c r="I20" s="26"/>
      <c r="J20" s="26"/>
    </row>
    <row r="21" spans="1:10" ht="12.75">
      <c r="A21" s="62">
        <v>9</v>
      </c>
      <c r="B21" s="65">
        <v>5151</v>
      </c>
      <c r="C21" s="65">
        <v>5125</v>
      </c>
      <c r="D21" s="65">
        <v>5068</v>
      </c>
      <c r="E21" s="34">
        <f>IF(Parameters!$B$33="Yes",AVERAGE(G21:J21),AVERAGE(B21:D21))</f>
        <v>5114.666666666667</v>
      </c>
      <c r="F21" s="34">
        <f>IF(Parameters!$B$33="Yes",E21*10000,(E21-Parameters!$B$31)*Parameters!$B$32*(100/Parameters!$B$29)*(500/Parameters!$B$30))</f>
        <v>2043866.6666666667</v>
      </c>
      <c r="G21" s="26"/>
      <c r="H21" s="26"/>
      <c r="I21" s="26"/>
      <c r="J21" s="26"/>
    </row>
    <row r="22" spans="1:10" ht="12.75">
      <c r="A22" s="62">
        <v>10</v>
      </c>
      <c r="B22" s="65">
        <v>4263</v>
      </c>
      <c r="C22" s="65">
        <v>4058</v>
      </c>
      <c r="D22" s="65">
        <v>4013</v>
      </c>
      <c r="E22" s="34">
        <f>IF(Parameters!$B$33="Yes",AVERAGE(G22:J22),AVERAGE(B22:D22))</f>
        <v>4111.333333333333</v>
      </c>
      <c r="F22" s="34">
        <f>IF(Parameters!$B$33="Yes",E22*10000,(E22-Parameters!$B$31)*Parameters!$B$32*(100/Parameters!$B$29)*(500/Parameters!$B$30))</f>
        <v>1642533.3333333333</v>
      </c>
      <c r="G22" s="26"/>
      <c r="H22" s="26"/>
      <c r="I22" s="26"/>
      <c r="J22" s="26"/>
    </row>
    <row r="29" spans="1:10" ht="12.75">
      <c r="A29" s="62" t="s">
        <v>1</v>
      </c>
      <c r="B29" s="30" t="s">
        <v>63</v>
      </c>
      <c r="C29" s="30" t="s">
        <v>65</v>
      </c>
      <c r="D29" s="20"/>
      <c r="E29" s="20" t="s">
        <v>50</v>
      </c>
      <c r="F29" s="20"/>
      <c r="G29" s="30" t="s">
        <v>8</v>
      </c>
      <c r="H29" s="30" t="s">
        <v>52</v>
      </c>
      <c r="I29" s="30" t="s">
        <v>14</v>
      </c>
      <c r="J29" s="30" t="s">
        <v>14</v>
      </c>
    </row>
    <row r="30" spans="2:10" ht="12.75">
      <c r="B30" s="30" t="s">
        <v>64</v>
      </c>
      <c r="C30" s="30" t="s">
        <v>64</v>
      </c>
      <c r="D30" s="30" t="s">
        <v>4</v>
      </c>
      <c r="E30" s="30" t="s">
        <v>3</v>
      </c>
      <c r="F30" s="30" t="s">
        <v>5</v>
      </c>
      <c r="G30" s="30"/>
      <c r="H30" s="30"/>
      <c r="I30" s="30" t="s">
        <v>67</v>
      </c>
      <c r="J30" s="30" t="s">
        <v>68</v>
      </c>
    </row>
    <row r="31" spans="2:10" ht="12.75">
      <c r="B31" s="30" t="s">
        <v>51</v>
      </c>
      <c r="C31" s="30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3">
        <f>F13/(10000*200/B35)</f>
        <v>106.94666666666664</v>
      </c>
      <c r="D35" s="28">
        <v>73</v>
      </c>
      <c r="E35" s="28">
        <v>69</v>
      </c>
      <c r="F35" s="28">
        <v>82</v>
      </c>
      <c r="G35" s="33">
        <f>AVERAGE(D35:F36)</f>
        <v>74.66666666666667</v>
      </c>
      <c r="H35" s="43">
        <f>G35/AVERAGE($C$35,$C$36)*100</f>
        <v>69.81673108091262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3">
        <f aca="true" t="shared" si="0" ref="C36:C44">F14/(10000*200/B36)</f>
        <v>106.94666666666664</v>
      </c>
      <c r="D36" s="28">
        <v>73</v>
      </c>
      <c r="E36" s="28">
        <v>69</v>
      </c>
      <c r="F36" s="28">
        <v>82</v>
      </c>
      <c r="G36" s="33"/>
      <c r="H36" s="43"/>
      <c r="I36" s="44"/>
      <c r="J36" s="36"/>
    </row>
    <row r="37" spans="1:10" ht="12.75">
      <c r="A37" s="62">
        <v>3</v>
      </c>
      <c r="B37" s="26">
        <v>200</v>
      </c>
      <c r="C37" s="34">
        <f t="shared" si="0"/>
        <v>183.24</v>
      </c>
      <c r="D37" s="65">
        <v>62</v>
      </c>
      <c r="E37" s="65">
        <v>63</v>
      </c>
      <c r="F37" s="65">
        <v>62</v>
      </c>
      <c r="G37" s="34">
        <f aca="true" t="shared" si="1" ref="G37:G44">AVERAGE(D37:F37)</f>
        <v>62.333333333333336</v>
      </c>
      <c r="H37" s="45">
        <f aca="true" t="shared" si="2" ref="H37:H44">G37/C37*100</f>
        <v>34.01731790729826</v>
      </c>
      <c r="I37" s="36">
        <f aca="true" t="shared" si="3" ref="I37:I44">G37*200/B37/$G$35</f>
        <v>0.8348214285714286</v>
      </c>
      <c r="J37" s="36">
        <f>(G37/C37)/($G$35/AVERAGE($C$35,$C$36))</f>
        <v>0.48723733381149875</v>
      </c>
    </row>
    <row r="38" spans="1:10" ht="12.75">
      <c r="A38" s="62">
        <v>4</v>
      </c>
      <c r="B38" s="26">
        <v>200</v>
      </c>
      <c r="C38" s="34">
        <f t="shared" si="0"/>
        <v>134.89333333333335</v>
      </c>
      <c r="D38" s="65">
        <v>61</v>
      </c>
      <c r="E38" s="65">
        <v>60</v>
      </c>
      <c r="F38" s="65">
        <v>55</v>
      </c>
      <c r="G38" s="34">
        <f t="shared" si="1"/>
        <v>58.666666666666664</v>
      </c>
      <c r="H38" s="45">
        <f t="shared" si="2"/>
        <v>43.49115350400316</v>
      </c>
      <c r="I38" s="36">
        <f t="shared" si="3"/>
        <v>0.7857142857142856</v>
      </c>
      <c r="J38" s="36">
        <f aca="true" t="shared" si="4" ref="J38:J44">(G38/C38)/($G$35/AVERAGE($C$35,$C$36))</f>
        <v>0.6229331111707308</v>
      </c>
    </row>
    <row r="39" spans="1:10" ht="12.75">
      <c r="A39" s="62">
        <v>5</v>
      </c>
      <c r="B39" s="26">
        <v>200</v>
      </c>
      <c r="C39" s="34">
        <f t="shared" si="0"/>
        <v>145.12</v>
      </c>
      <c r="D39" s="65">
        <v>38</v>
      </c>
      <c r="E39" s="65">
        <v>47</v>
      </c>
      <c r="F39" s="65">
        <v>41</v>
      </c>
      <c r="G39" s="34">
        <f t="shared" si="1"/>
        <v>42</v>
      </c>
      <c r="H39" s="45">
        <f t="shared" si="2"/>
        <v>28.94156560088203</v>
      </c>
      <c r="I39" s="36">
        <f t="shared" si="3"/>
        <v>0.5625</v>
      </c>
      <c r="J39" s="36">
        <f t="shared" si="4"/>
        <v>0.41453624586549054</v>
      </c>
    </row>
    <row r="40" spans="1:10" ht="12.75">
      <c r="A40" s="62">
        <v>6</v>
      </c>
      <c r="B40" s="26">
        <v>200</v>
      </c>
      <c r="C40" s="34">
        <f t="shared" si="0"/>
        <v>193.88</v>
      </c>
      <c r="D40" s="65">
        <v>49</v>
      </c>
      <c r="E40" s="65">
        <v>42</v>
      </c>
      <c r="F40" s="65">
        <v>37</v>
      </c>
      <c r="G40" s="34">
        <f t="shared" si="1"/>
        <v>42.666666666666664</v>
      </c>
      <c r="H40" s="45">
        <f t="shared" si="2"/>
        <v>22.00673956399147</v>
      </c>
      <c r="I40" s="36">
        <f t="shared" si="3"/>
        <v>0.5714285714285713</v>
      </c>
      <c r="J40" s="36">
        <f t="shared" si="4"/>
        <v>0.31520724650495635</v>
      </c>
    </row>
    <row r="41" spans="1:10" ht="12.75">
      <c r="A41" s="62">
        <v>7</v>
      </c>
      <c r="B41" s="26">
        <v>200</v>
      </c>
      <c r="C41" s="34">
        <f t="shared" si="0"/>
        <v>177</v>
      </c>
      <c r="D41" s="65">
        <v>32</v>
      </c>
      <c r="E41" s="65">
        <v>37</v>
      </c>
      <c r="F41" s="65">
        <v>36</v>
      </c>
      <c r="G41" s="34">
        <f t="shared" si="1"/>
        <v>35</v>
      </c>
      <c r="H41" s="45">
        <f t="shared" si="2"/>
        <v>19.774011299435028</v>
      </c>
      <c r="I41" s="36">
        <f t="shared" si="3"/>
        <v>0.46874999999999994</v>
      </c>
      <c r="J41" s="36">
        <f t="shared" si="4"/>
        <v>0.28322740112994343</v>
      </c>
    </row>
    <row r="42" spans="1:10" ht="12.75">
      <c r="A42" s="62">
        <v>8</v>
      </c>
      <c r="B42" s="26">
        <v>2000</v>
      </c>
      <c r="C42" s="34">
        <f t="shared" si="0"/>
        <v>1630</v>
      </c>
      <c r="D42" s="65">
        <v>220</v>
      </c>
      <c r="E42" s="65">
        <v>222</v>
      </c>
      <c r="F42" s="65">
        <v>211</v>
      </c>
      <c r="G42" s="34">
        <f t="shared" si="1"/>
        <v>217.66666666666666</v>
      </c>
      <c r="H42" s="45">
        <f t="shared" si="2"/>
        <v>13.353783231083844</v>
      </c>
      <c r="I42" s="36">
        <f t="shared" si="3"/>
        <v>0.2915178571428571</v>
      </c>
      <c r="J42" s="36">
        <f t="shared" si="4"/>
        <v>0.19126909874379194</v>
      </c>
    </row>
    <row r="43" spans="1:10" ht="12.75">
      <c r="A43" s="62">
        <v>9</v>
      </c>
      <c r="B43" s="26">
        <v>2000</v>
      </c>
      <c r="C43" s="34">
        <f t="shared" si="0"/>
        <v>2043.8666666666668</v>
      </c>
      <c r="D43" s="65">
        <v>182</v>
      </c>
      <c r="E43" s="65">
        <v>175</v>
      </c>
      <c r="F43" s="65">
        <v>170</v>
      </c>
      <c r="G43" s="34">
        <f t="shared" si="1"/>
        <v>175.66666666666666</v>
      </c>
      <c r="H43" s="45">
        <f t="shared" si="2"/>
        <v>8.594820275295191</v>
      </c>
      <c r="I43" s="36">
        <f t="shared" si="3"/>
        <v>0.23526785714285708</v>
      </c>
      <c r="J43" s="36">
        <f t="shared" si="4"/>
        <v>0.12310545255025485</v>
      </c>
    </row>
    <row r="44" spans="1:10" ht="12.75">
      <c r="A44" s="62">
        <v>10</v>
      </c>
      <c r="B44" s="26">
        <v>2000</v>
      </c>
      <c r="C44" s="34">
        <f t="shared" si="0"/>
        <v>1642.5333333333333</v>
      </c>
      <c r="D44" s="65">
        <v>168</v>
      </c>
      <c r="E44" s="65">
        <v>185</v>
      </c>
      <c r="F44" s="65">
        <v>174</v>
      </c>
      <c r="G44" s="34">
        <f t="shared" si="1"/>
        <v>175.66666666666666</v>
      </c>
      <c r="H44" s="45">
        <f t="shared" si="2"/>
        <v>10.694861595908758</v>
      </c>
      <c r="I44" s="36">
        <f t="shared" si="3"/>
        <v>0.23526785714285708</v>
      </c>
      <c r="J44" s="36">
        <f t="shared" si="4"/>
        <v>0.1531847943942574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C1">
      <selection activeCell="F23" sqref="F23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2">
        <f>Parameters!$B$1</f>
        <v>36874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0" t="s">
        <v>53</v>
      </c>
      <c r="C7" s="30" t="s">
        <v>54</v>
      </c>
      <c r="D7" s="30" t="s">
        <v>56</v>
      </c>
      <c r="E7" s="30" t="s">
        <v>56</v>
      </c>
    </row>
    <row r="8" spans="2:5" ht="12.75">
      <c r="B8" s="30" t="s">
        <v>55</v>
      </c>
      <c r="C8" s="30" t="s">
        <v>13</v>
      </c>
      <c r="D8" s="30" t="s">
        <v>67</v>
      </c>
      <c r="E8" s="30" t="s">
        <v>68</v>
      </c>
    </row>
    <row r="13" spans="1:5" ht="12.75">
      <c r="A13" s="32">
        <v>1</v>
      </c>
      <c r="B13" s="43">
        <f>MediumActivity!J13</f>
        <v>0</v>
      </c>
      <c r="C13" s="43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2">
        <v>2</v>
      </c>
      <c r="B14" s="43">
        <f>MediumActivity!J14</f>
        <v>0</v>
      </c>
      <c r="C14" s="43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5">
        <f>MediumActivity!J15</f>
        <v>1.9921615207167929</v>
      </c>
      <c r="C15" s="45">
        <f>CellSuspension!J15/(CoulterSurvival!F15*Parameters!$B$14)*1000000</f>
        <v>0.09331036254063678</v>
      </c>
      <c r="D15" s="36">
        <f>CoulterSurvival!I37</f>
        <v>0.8348214285714286</v>
      </c>
      <c r="E15" s="36">
        <f>CoulterSurvival!J37</f>
        <v>0.48723733381149875</v>
      </c>
    </row>
    <row r="16" spans="1:5" ht="12.75">
      <c r="A16" s="20">
        <v>4</v>
      </c>
      <c r="B16" s="45">
        <f>MediumActivity!J16</f>
        <v>3.8787525853904516</v>
      </c>
      <c r="C16" s="45">
        <f>CellSuspension!J16/(CoulterSurvival!F16*Parameters!$B$14)*1000000</f>
        <v>0.1686029684141709</v>
      </c>
      <c r="D16" s="36">
        <f>CoulterSurvival!I38</f>
        <v>0.7857142857142856</v>
      </c>
      <c r="E16" s="36">
        <f>CoulterSurvival!J38</f>
        <v>0.6229331111707308</v>
      </c>
    </row>
    <row r="17" spans="1:5" ht="12.75">
      <c r="A17" s="20">
        <v>5</v>
      </c>
      <c r="B17" s="45">
        <f>MediumActivity!J17</f>
        <v>7.93545051436778</v>
      </c>
      <c r="C17" s="45">
        <f>CellSuspension!J17/(CoulterSurvival!F17*Parameters!$B$14)*1000000</f>
        <v>0.339612252286819</v>
      </c>
      <c r="D17" s="36">
        <f>CoulterSurvival!I39</f>
        <v>0.5625</v>
      </c>
      <c r="E17" s="36">
        <f>CoulterSurvival!J39</f>
        <v>0.41453624586549054</v>
      </c>
    </row>
    <row r="18" spans="1:5" ht="12.75">
      <c r="A18" s="20">
        <v>6</v>
      </c>
      <c r="B18" s="45">
        <f>MediumActivity!J18</f>
        <v>12.061104044863157</v>
      </c>
      <c r="C18" s="45">
        <f>CellSuspension!J18/(CoulterSurvival!F18*Parameters!$B$14)*1000000</f>
        <v>0.5489016695553152</v>
      </c>
      <c r="D18" s="36">
        <f>CoulterSurvival!I40</f>
        <v>0.5714285714285713</v>
      </c>
      <c r="E18" s="36">
        <f>CoulterSurvival!J40</f>
        <v>0.31520724650495635</v>
      </c>
    </row>
    <row r="19" spans="1:5" ht="12.75">
      <c r="A19" s="20">
        <v>7</v>
      </c>
      <c r="B19" s="45">
        <f>MediumActivity!J19</f>
        <v>15.741680511014746</v>
      </c>
      <c r="C19" s="45">
        <f>CellSuspension!J19/(CoulterSurvival!F19*Parameters!$B$14)*1000000</f>
        <v>0.9727648610946114</v>
      </c>
      <c r="D19" s="36">
        <f>CoulterSurvival!I41</f>
        <v>0.46874999999999994</v>
      </c>
      <c r="E19" s="36">
        <f>CoulterSurvival!J41</f>
        <v>0.28322740112994343</v>
      </c>
    </row>
    <row r="20" spans="1:5" ht="12.75">
      <c r="A20" s="20">
        <v>8</v>
      </c>
      <c r="B20" s="45">
        <f>MediumActivity!J20</f>
        <v>19.85821594544162</v>
      </c>
      <c r="C20" s="45">
        <f>CellSuspension!J20/(CoulterSurvival!F20*Parameters!$B$14)*1000000</f>
        <v>1.7424215990657184</v>
      </c>
      <c r="D20" s="36">
        <f>CoulterSurvival!I42</f>
        <v>0.2915178571428571</v>
      </c>
      <c r="E20" s="36">
        <f>CoulterSurvival!J42</f>
        <v>0.19126909874379194</v>
      </c>
    </row>
    <row r="21" spans="1:5" ht="12.75">
      <c r="A21" s="20">
        <v>9</v>
      </c>
      <c r="B21" s="45">
        <f>MediumActivity!J21</f>
        <v>23.30029721130143</v>
      </c>
      <c r="C21" s="45">
        <f>CellSuspension!J21/(CoulterSurvival!F21*Parameters!$B$14)*1000000</f>
        <v>1.3064830891761958</v>
      </c>
      <c r="D21" s="36">
        <f>CoulterSurvival!I43</f>
        <v>0.23526785714285708</v>
      </c>
      <c r="E21" s="36">
        <f>CoulterSurvival!J43</f>
        <v>0.12310545255025485</v>
      </c>
    </row>
    <row r="22" spans="1:5" ht="12.75">
      <c r="A22" s="20">
        <v>10</v>
      </c>
      <c r="B22" s="45">
        <f>MediumActivity!J22</f>
        <v>30.059085922079134</v>
      </c>
      <c r="C22" s="45">
        <f>CellSuspension!J22/(CoulterSurvival!F22*Parameters!$B$14)*1000000</f>
        <v>2.4818075392302696</v>
      </c>
      <c r="D22" s="36">
        <f>CoulterSurvival!I44</f>
        <v>0.23526785714285708</v>
      </c>
      <c r="E22" s="36">
        <f>CoulterSurvival!J44</f>
        <v>0.1531847943942574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40">
      <selection activeCell="C58" sqref="C58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2">
        <f>Parameters!$B$1</f>
        <v>36874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0" t="s">
        <v>53</v>
      </c>
      <c r="C7" s="30" t="s">
        <v>54</v>
      </c>
      <c r="D7" s="30" t="s">
        <v>56</v>
      </c>
      <c r="E7" s="30" t="s">
        <v>56</v>
      </c>
    </row>
    <row r="8" spans="2:5" ht="12.75">
      <c r="B8" s="30" t="s">
        <v>55</v>
      </c>
      <c r="C8" s="30" t="s">
        <v>13</v>
      </c>
      <c r="D8" s="30" t="s">
        <v>67</v>
      </c>
      <c r="E8" s="30" t="s">
        <v>68</v>
      </c>
    </row>
    <row r="13" spans="1:5" ht="12.75">
      <c r="A13" s="32">
        <v>1</v>
      </c>
      <c r="B13" s="43">
        <f>MediumActivity!J13</f>
        <v>0</v>
      </c>
      <c r="C13" s="43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2">
        <v>2</v>
      </c>
      <c r="B14" s="43">
        <f>MediumActivity!J14</f>
        <v>0</v>
      </c>
      <c r="C14" s="43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5">
        <f>MediumActivity!J15</f>
        <v>1.9921615207167929</v>
      </c>
      <c r="C15" s="45">
        <f>CellSuspension!J15/(CoulterSurvival!F15*Parameters!$B$14)*1000000</f>
        <v>0.09331036254063678</v>
      </c>
      <c r="D15" s="36">
        <f>CoulterSurvival!I37</f>
        <v>0.8348214285714286</v>
      </c>
      <c r="E15" s="36">
        <f>CoulterSurvival!J37</f>
        <v>0.48723733381149875</v>
      </c>
    </row>
    <row r="16" spans="1:5" ht="12.75">
      <c r="A16" s="20">
        <v>4</v>
      </c>
      <c r="B16" s="45">
        <f>MediumActivity!J16</f>
        <v>3.8787525853904516</v>
      </c>
      <c r="C16" s="45">
        <f>CellSuspension!J16/(CoulterSurvival!F16*Parameters!$B$14)*1000000</f>
        <v>0.1686029684141709</v>
      </c>
      <c r="D16" s="36">
        <f>CoulterSurvival!I38</f>
        <v>0.7857142857142856</v>
      </c>
      <c r="E16" s="36">
        <f>CoulterSurvival!J38</f>
        <v>0.6229331111707308</v>
      </c>
    </row>
    <row r="17" spans="1:5" ht="12.75">
      <c r="A17" s="20">
        <v>5</v>
      </c>
      <c r="B17" s="45">
        <f>MediumActivity!J17</f>
        <v>7.93545051436778</v>
      </c>
      <c r="C17" s="45">
        <f>CellSuspension!J17/(CoulterSurvival!F17*Parameters!$B$14)*1000000</f>
        <v>0.339612252286819</v>
      </c>
      <c r="D17" s="36">
        <f>CoulterSurvival!I39</f>
        <v>0.5625</v>
      </c>
      <c r="E17" s="36">
        <f>CoulterSurvival!J39</f>
        <v>0.41453624586549054</v>
      </c>
    </row>
    <row r="18" spans="1:5" ht="12.75">
      <c r="A18" s="20">
        <v>6</v>
      </c>
      <c r="B18" s="45">
        <f>MediumActivity!J18</f>
        <v>12.061104044863157</v>
      </c>
      <c r="C18" s="45">
        <f>CellSuspension!J18/(CoulterSurvival!F18*Parameters!$B$14)*1000000</f>
        <v>0.5489016695553152</v>
      </c>
      <c r="D18" s="36">
        <f>CoulterSurvival!I40</f>
        <v>0.5714285714285713</v>
      </c>
      <c r="E18" s="36">
        <f>CoulterSurvival!J40</f>
        <v>0.31520724650495635</v>
      </c>
    </row>
    <row r="19" spans="1:5" ht="12.75">
      <c r="A19" s="20">
        <v>7</v>
      </c>
      <c r="B19" s="45">
        <f>MediumActivity!J19</f>
        <v>15.741680511014746</v>
      </c>
      <c r="C19" s="45">
        <f>CellSuspension!J19/(CoulterSurvival!F19*Parameters!$B$14)*1000000</f>
        <v>0.9727648610946114</v>
      </c>
      <c r="D19" s="36">
        <f>CoulterSurvival!I41</f>
        <v>0.46874999999999994</v>
      </c>
      <c r="E19" s="36">
        <f>CoulterSurvival!J41</f>
        <v>0.28322740112994343</v>
      </c>
    </row>
    <row r="20" spans="1:5" ht="12.75">
      <c r="A20" s="20">
        <v>8</v>
      </c>
      <c r="B20" s="45">
        <f>MediumActivity!J20</f>
        <v>19.85821594544162</v>
      </c>
      <c r="C20" s="45">
        <f>CellSuspension!J20/(CoulterSurvival!F20*Parameters!$B$14)*1000000</f>
        <v>1.7424215990657184</v>
      </c>
      <c r="D20" s="36">
        <f>CoulterSurvival!I42</f>
        <v>0.2915178571428571</v>
      </c>
      <c r="E20" s="36">
        <f>CoulterSurvival!J42</f>
        <v>0.19126909874379194</v>
      </c>
    </row>
    <row r="21" spans="1:5" ht="12.75">
      <c r="A21" s="20">
        <v>9</v>
      </c>
      <c r="B21" s="45">
        <f>MediumActivity!J21</f>
        <v>23.30029721130143</v>
      </c>
      <c r="C21" s="45">
        <f>CellSuspension!J21/(CoulterSurvival!F21*Parameters!$B$14)*1000000</f>
        <v>1.3064830891761958</v>
      </c>
      <c r="D21" s="36">
        <f>CoulterSurvival!I43</f>
        <v>0.23526785714285708</v>
      </c>
      <c r="E21" s="36">
        <f>CoulterSurvival!J43</f>
        <v>0.12310545255025485</v>
      </c>
    </row>
    <row r="22" spans="1:5" ht="12.75">
      <c r="A22" s="20">
        <v>10</v>
      </c>
      <c r="B22" s="45">
        <f>MediumActivity!J22</f>
        <v>30.059085922079134</v>
      </c>
      <c r="C22" s="45">
        <f>CellSuspension!J22/(CoulterSurvival!F22*Parameters!$B$14)*1000000</f>
        <v>2.4818075392302696</v>
      </c>
      <c r="D22" s="36">
        <f>CoulterSurvival!I44</f>
        <v>0.23526785714285708</v>
      </c>
      <c r="E22" s="36">
        <f>CoulterSurvival!J44</f>
        <v>0.1531847943942574</v>
      </c>
    </row>
    <row r="41" spans="1:5" ht="12.75">
      <c r="A41" s="20" t="s">
        <v>45</v>
      </c>
      <c r="B41" s="20"/>
      <c r="C41" s="20"/>
      <c r="D41" s="20"/>
      <c r="E41" s="20"/>
    </row>
    <row r="42" spans="1:5" ht="12.75">
      <c r="A42" s="20" t="s">
        <v>12</v>
      </c>
      <c r="B42" s="20"/>
      <c r="C42" s="42">
        <f>Parameters!$B$1</f>
        <v>36874</v>
      </c>
      <c r="D42" s="20"/>
      <c r="E42" s="20"/>
    </row>
    <row r="43" spans="2:5" ht="12.75">
      <c r="B43" s="20"/>
      <c r="C43" s="20"/>
      <c r="D43" s="20"/>
      <c r="E43" s="20"/>
    </row>
    <row r="44" spans="2:5" ht="12.75">
      <c r="B44" s="20"/>
      <c r="C44" s="20"/>
      <c r="D44" s="20"/>
      <c r="E44" s="20"/>
    </row>
    <row r="45" spans="1:5" ht="12.75">
      <c r="A45" s="20" t="s">
        <v>1</v>
      </c>
      <c r="B45" s="30" t="s">
        <v>53</v>
      </c>
      <c r="C45" s="30" t="s">
        <v>54</v>
      </c>
      <c r="D45" s="30" t="s">
        <v>56</v>
      </c>
      <c r="E45" s="30" t="s">
        <v>56</v>
      </c>
    </row>
    <row r="46" spans="2:5" ht="12.75">
      <c r="B46" s="30" t="s">
        <v>55</v>
      </c>
      <c r="C46" s="30" t="s">
        <v>13</v>
      </c>
      <c r="D46" s="30" t="s">
        <v>67</v>
      </c>
      <c r="E46" s="30" t="s">
        <v>68</v>
      </c>
    </row>
    <row r="47" spans="1:5" ht="12.75">
      <c r="A47" s="20">
        <v>1</v>
      </c>
      <c r="B47" s="66">
        <v>0</v>
      </c>
      <c r="C47" s="66">
        <v>0</v>
      </c>
      <c r="D47" s="66">
        <v>1</v>
      </c>
      <c r="E47" s="66">
        <v>1</v>
      </c>
    </row>
    <row r="48" spans="1:5" ht="12.75">
      <c r="A48" s="20">
        <v>2</v>
      </c>
      <c r="B48" s="66">
        <v>0</v>
      </c>
      <c r="C48" s="66">
        <v>0</v>
      </c>
      <c r="D48" s="66"/>
      <c r="E48" s="66"/>
    </row>
    <row r="49" spans="1:5" ht="12.75">
      <c r="A49" s="20">
        <v>3</v>
      </c>
      <c r="B49" s="66">
        <v>1.9921615207167929</v>
      </c>
      <c r="C49" s="66">
        <v>0.09331036254063678</v>
      </c>
      <c r="D49" s="66">
        <v>0.8348214285714286</v>
      </c>
      <c r="E49" s="66">
        <v>0.48723733381149875</v>
      </c>
    </row>
    <row r="50" spans="1:5" ht="12.75">
      <c r="A50" s="20">
        <v>4</v>
      </c>
      <c r="B50" s="66">
        <v>3.8787525853904516</v>
      </c>
      <c r="C50" s="66">
        <v>0.1686029684141709</v>
      </c>
      <c r="D50" s="66">
        <v>0.7857142857142856</v>
      </c>
      <c r="E50" s="66">
        <v>0.6229331111707308</v>
      </c>
    </row>
    <row r="51" spans="1:5" ht="12.75">
      <c r="A51" s="20">
        <v>5</v>
      </c>
      <c r="B51" s="66">
        <v>7.93545051436778</v>
      </c>
      <c r="C51" s="66">
        <v>0.339612252286819</v>
      </c>
      <c r="D51" s="66">
        <v>0.5625</v>
      </c>
      <c r="E51" s="66">
        <v>0.41453624586549054</v>
      </c>
    </row>
    <row r="52" spans="1:5" ht="12.75">
      <c r="A52" s="20">
        <v>6</v>
      </c>
      <c r="B52" s="66">
        <v>12.061104044863157</v>
      </c>
      <c r="C52" s="66">
        <v>0.5489016695553152</v>
      </c>
      <c r="D52" s="66">
        <v>0.5714285714285713</v>
      </c>
      <c r="E52" s="66">
        <v>0.31520724650495635</v>
      </c>
    </row>
    <row r="53" spans="1:5" ht="12.75">
      <c r="A53" s="20">
        <v>7</v>
      </c>
      <c r="B53" s="66">
        <v>15.741680511014746</v>
      </c>
      <c r="C53" s="66">
        <v>0.9727648610946114</v>
      </c>
      <c r="D53" s="66">
        <v>0.46875</v>
      </c>
      <c r="E53" s="66">
        <v>0.28322740112994343</v>
      </c>
    </row>
    <row r="54" spans="1:5" ht="12.75">
      <c r="A54" s="20">
        <v>8</v>
      </c>
      <c r="B54" s="66">
        <v>19.85821594544162</v>
      </c>
      <c r="C54" s="66">
        <v>1.7424215990657184</v>
      </c>
      <c r="D54" s="66">
        <v>0.2915178571428571</v>
      </c>
      <c r="E54" s="66">
        <v>0.19126909874379194</v>
      </c>
    </row>
    <row r="55" spans="1:5" ht="12.75">
      <c r="A55" s="20">
        <v>9</v>
      </c>
      <c r="B55" s="66">
        <v>23.30029721130143</v>
      </c>
      <c r="C55" s="66">
        <v>1.3064830891761958</v>
      </c>
      <c r="D55" s="66">
        <v>0.23526785714285708</v>
      </c>
      <c r="E55" s="66">
        <v>0.12310545255025485</v>
      </c>
    </row>
    <row r="56" spans="1:5" ht="12.75">
      <c r="A56" s="20">
        <v>10</v>
      </c>
      <c r="B56" s="66">
        <v>30.059085922079134</v>
      </c>
      <c r="C56" s="66">
        <v>2.4818075392302696</v>
      </c>
      <c r="D56" s="66">
        <v>0.23526785714285708</v>
      </c>
      <c r="E56" s="66">
        <v>0.1531847943942574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2001-05-09T19:28:57Z</cp:lastPrinted>
  <dcterms:created xsi:type="dcterms:W3CDTF">2000-10-11T19:44:58Z</dcterms:created>
  <dcterms:modified xsi:type="dcterms:W3CDTF">2001-05-09T19:29:08Z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