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865" windowHeight="3705" tabRatio="727" firstSheet="1" activeTab="5"/>
  </bookViews>
  <sheets>
    <sheet name="Parameters" sheetId="1" r:id="rId1"/>
    <sheet name="MediumActivity" sheetId="2" r:id="rId2"/>
    <sheet name="CellSuspension" sheetId="3" r:id="rId3"/>
    <sheet name="CoulterSurvival" sheetId="4" r:id="rId4"/>
    <sheet name="Summary" sheetId="5" r:id="rId5"/>
    <sheet name="Unprotected Summary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<sst xmlns="http://schemas.openxmlformats.org/spreadsheetml/2006/main" count="160" uniqueCount="105">
  <si>
    <t>Cells/ml</t>
  </si>
  <si>
    <t>Tube #</t>
  </si>
  <si>
    <t>(CPM)</t>
  </si>
  <si>
    <t xml:space="preserve">2nd </t>
  </si>
  <si>
    <t xml:space="preserve">1st  </t>
  </si>
  <si>
    <t>3rd</t>
  </si>
  <si>
    <t>DPM</t>
  </si>
  <si>
    <t>counting</t>
  </si>
  <si>
    <t>Average</t>
  </si>
  <si>
    <t>CPM</t>
  </si>
  <si>
    <t xml:space="preserve">corrected </t>
  </si>
  <si>
    <t>for control</t>
  </si>
  <si>
    <t>Date/Time:</t>
  </si>
  <si>
    <t>(mBq/cell)</t>
  </si>
  <si>
    <t>SF</t>
  </si>
  <si>
    <t>Experiment No.</t>
  </si>
  <si>
    <t>Investigator</t>
  </si>
  <si>
    <t>Cell Line</t>
  </si>
  <si>
    <t>Radiochemical</t>
  </si>
  <si>
    <t>Manufacturer/Lot</t>
  </si>
  <si>
    <t>Date</t>
  </si>
  <si>
    <t>Radionuclide</t>
  </si>
  <si>
    <t>Half-life (days)</t>
  </si>
  <si>
    <t>Activity Added (Date/Time)</t>
  </si>
  <si>
    <t>Cells Washed (Date/Time)</t>
  </si>
  <si>
    <t>Original Activity Concentration (MBq/ml)</t>
  </si>
  <si>
    <t>Present Activity Concentration (MBq/ml)</t>
  </si>
  <si>
    <t>Original Calibration Date/Time</t>
  </si>
  <si>
    <t>Present Calibration Date/Time</t>
  </si>
  <si>
    <t>Time Elapsed Between Add and Wash (hr)</t>
  </si>
  <si>
    <t>Time Elapsed Between Add and Count (hr)</t>
  </si>
  <si>
    <t>Average Coulter Background Counts</t>
  </si>
  <si>
    <t>Coulter 1</t>
  </si>
  <si>
    <t>Coulter 2</t>
  </si>
  <si>
    <t>Coulter 3</t>
  </si>
  <si>
    <t>Liquid Scintillation Cocktail</t>
  </si>
  <si>
    <t>Model of Counter</t>
  </si>
  <si>
    <t>Counting Efficiency</t>
  </si>
  <si>
    <t>Volume/Type Counting Vial</t>
  </si>
  <si>
    <t>Radiation Yield</t>
  </si>
  <si>
    <t>Medium count</t>
  </si>
  <si>
    <t>CPM/(y e)</t>
  </si>
  <si>
    <t>addition</t>
  </si>
  <si>
    <t>[At/e-0.693t/T]</t>
  </si>
  <si>
    <t>kBq/ml at</t>
  </si>
  <si>
    <t xml:space="preserve">Experiment: </t>
  </si>
  <si>
    <t>Suspension count</t>
  </si>
  <si>
    <t>uptake</t>
  </si>
  <si>
    <t xml:space="preserve">Coulter count </t>
  </si>
  <si>
    <t>Coulter Calibration Parameter</t>
  </si>
  <si>
    <t xml:space="preserve">Colony count </t>
  </si>
  <si>
    <t>Seeded</t>
  </si>
  <si>
    <t>PE (%)</t>
  </si>
  <si>
    <t>Activity Conc.</t>
  </si>
  <si>
    <t>Activity/Cell</t>
  </si>
  <si>
    <t>(kBq/ml)</t>
  </si>
  <si>
    <t>Survival</t>
  </si>
  <si>
    <t>kBq/ml after</t>
  </si>
  <si>
    <r>
      <t>Vol. Supernatant Counted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</si>
  <si>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Counted Cell Activity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</si>
  <si>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Coulter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</si>
  <si>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Coulter Manometer Volume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</si>
  <si>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t>Volume of LSC Cocktail (ml)</t>
  </si>
  <si>
    <t xml:space="preserve">Predicted </t>
  </si>
  <si>
    <t xml:space="preserve"> # Cells</t>
  </si>
  <si>
    <t>Actual</t>
  </si>
  <si>
    <t>Date:</t>
  </si>
  <si>
    <t>Uncorrected</t>
  </si>
  <si>
    <t>Corrected</t>
  </si>
  <si>
    <t>Medium Tubes Counted (Date/Time)</t>
  </si>
  <si>
    <t>Cell Tubes Counted (Date/Time)</t>
  </si>
  <si>
    <t>Time Elapsed Between Wash and Count (hr)</t>
  </si>
  <si>
    <t>I-125=59.408, H-3=4500.45, Po-210=138.376, I-131=8.02</t>
  </si>
  <si>
    <t>I-125=1.47, H-3=1.0, Po-210=1.0, I-131=8.02</t>
  </si>
  <si>
    <t xml:space="preserve">At </t>
  </si>
  <si>
    <t>Ao</t>
  </si>
  <si>
    <r>
      <t>m</t>
    </r>
    <r>
      <rPr>
        <sz val="10"/>
        <color indexed="10"/>
        <rFont val="Arial"/>
        <family val="2"/>
      </rPr>
      <t>Ci/ml on</t>
    </r>
  </si>
  <si>
    <r>
      <t>m</t>
    </r>
    <r>
      <rPr>
        <sz val="10"/>
        <color indexed="10"/>
        <rFont val="Arial"/>
        <family val="2"/>
      </rPr>
      <t>Ci/ml at</t>
    </r>
  </si>
  <si>
    <r>
      <t>A</t>
    </r>
    <r>
      <rPr>
        <vertAlign val="subscript"/>
        <sz val="10"/>
        <color indexed="10"/>
        <rFont val="Arial"/>
        <family val="2"/>
      </rPr>
      <t xml:space="preserve">t </t>
    </r>
  </si>
  <si>
    <r>
      <t>A</t>
    </r>
    <r>
      <rPr>
        <vertAlign val="subscript"/>
        <sz val="10"/>
        <color indexed="10"/>
        <rFont val="Arial"/>
        <family val="2"/>
      </rPr>
      <t>o</t>
    </r>
  </si>
  <si>
    <r>
      <t>m</t>
    </r>
    <r>
      <rPr>
        <sz val="10"/>
        <color indexed="10"/>
        <rFont val="Arial"/>
        <family val="2"/>
      </rPr>
      <t>Ci/ml after</t>
    </r>
  </si>
  <si>
    <t>Modifier</t>
  </si>
  <si>
    <t>Background</t>
  </si>
  <si>
    <t>Fraction of Cells Labeled</t>
  </si>
  <si>
    <t>Hemocytometer Counting (Yes or No)?</t>
  </si>
  <si>
    <t>1st</t>
  </si>
  <si>
    <t>2nd</t>
  </si>
  <si>
    <t>4th</t>
  </si>
  <si>
    <t>Hemocytometer Count in Grid</t>
  </si>
  <si>
    <t>Time Elapsed Since Original Calibration (d)</t>
  </si>
  <si>
    <t>M.Lenarczyk</t>
  </si>
  <si>
    <t>none</t>
  </si>
  <si>
    <t>H-3</t>
  </si>
  <si>
    <t>3HTdR</t>
  </si>
  <si>
    <t>NCN/3106-398</t>
  </si>
  <si>
    <t>EcoLume</t>
  </si>
  <si>
    <t>7/Plastic vial with cup</t>
  </si>
  <si>
    <t>Beckman LS5000TD</t>
  </si>
  <si>
    <t>AL-N</t>
  </si>
  <si>
    <t>Feb., 15, 2001/ 18:30</t>
  </si>
  <si>
    <t>Feb., 16, 2001/ 16:30</t>
  </si>
  <si>
    <t>Feb., 15, 2001</t>
  </si>
  <si>
    <t>02/15/01/ 12:00</t>
  </si>
  <si>
    <t>Feb., 28, 2001/ 18:26</t>
  </si>
  <si>
    <t>Feb., 28, 2001/ 18:50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</si>
</sst>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00"/>
    <numFmt numFmtId="169" formatCode="0.0000"/>
    <numFmt numFmtId="170" formatCode="0.000"/>
    <numFmt numFmtId="171" formatCode="0.0"/>
    <numFmt numFmtId="172" formatCode="0.0000000000"/>
    <numFmt numFmtId="173" formatCode="0.000000000"/>
    <numFmt numFmtId="174" formatCode="0.00000000"/>
    <numFmt numFmtId="175" formatCode="0.0000000"/>
    <numFmt numFmtId="176" formatCode="0.00000000000"/>
    <numFmt numFmtId="177" formatCode="0.000000000000"/>
    <numFmt numFmtId="178" formatCode="m/d/yyyy"/>
    <numFmt numFmtId="179" formatCode="mm/dd/yy"/>
    <numFmt numFmtId="180" formatCode="0_);[Red]\(0\)"/>
    <numFmt numFmtId="181" formatCode="0.E+00"/>
  </numFmts>
  <fonts count="20">
    <font>
      <sz val="10"/>
      <name val="Arial"/>
      <family val="0"/>
    </font>
    <font>
      <sz val="10"/>
      <name val="Symbol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Symbol"/>
      <family val="1"/>
    </font>
    <font>
      <sz val="12"/>
      <name val="Arial"/>
      <family val="0"/>
    </font>
    <font>
      <sz val="16.25"/>
      <name val="Arial"/>
      <family val="0"/>
    </font>
    <font>
      <b/>
      <sz val="14.2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i/>
      <sz val="10"/>
      <color indexed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vertAlign val="subscript"/>
      <sz val="10"/>
      <color indexed="10"/>
      <name val="Arial"/>
      <family val="2"/>
    </font>
    <font>
      <b/>
      <sz val="12"/>
      <name val="Arial"/>
      <family val="0"/>
    </font>
    <font>
      <sz val="14.75"/>
      <name val="Arial"/>
      <family val="0"/>
    </font>
    <font>
      <sz val="10.7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left" indent="2"/>
    </xf>
    <xf numFmtId="1" fontId="0" fillId="0" borderId="0" xfId="0" applyNumberFormat="1" applyAlignment="1">
      <alignment horizontal="left" indent="1"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 indent="2"/>
    </xf>
    <xf numFmtId="1" fontId="0" fillId="0" borderId="0" xfId="0" applyNumberFormat="1" applyFont="1" applyAlignment="1">
      <alignment horizontal="left" indent="1"/>
    </xf>
    <xf numFmtId="167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8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167" fontId="11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2" fontId="12" fillId="0" borderId="0" xfId="0" applyNumberFormat="1" applyFont="1" applyAlignment="1" applyProtection="1">
      <alignment/>
      <protection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22" fontId="0" fillId="0" borderId="4" xfId="0" applyNumberFormat="1" applyBorder="1" applyAlignment="1" applyProtection="1">
      <alignment horizontal="left"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6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0" fillId="0" borderId="2" xfId="0" applyNumberForma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>
        <c:manualLayout>
          <c:xMode val="factor"/>
          <c:yMode val="factor"/>
          <c:x val="0.0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07875"/>
          <c:w val="0.87525"/>
          <c:h val="0.831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Summary!$C$13:$C$22</c:f>
              <c:numCache/>
            </c:numRef>
          </c:xVal>
          <c:yVal>
            <c:numRef>
              <c:f>Summary!$D$13:$D$22</c:f>
              <c:numCache/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/>
            </c:numRef>
          </c:xVal>
          <c:yVal>
            <c:numRef>
              <c:f>Summary!$E$13:$E$22</c:f>
              <c:numCache/>
            </c:numRef>
          </c:yVal>
          <c:smooth val="0"/>
        </c:ser>
        <c:axId val="21308543"/>
        <c:axId val="57559160"/>
      </c:scatterChart>
      <c:valAx>
        <c:axId val="21308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559160"/>
        <c:crossesAt val="0.001"/>
        <c:crossBetween val="midCat"/>
        <c:dispUnits/>
      </c:valAx>
      <c:valAx>
        <c:axId val="5755916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3085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14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>
        <c:manualLayout>
          <c:xMode val="factor"/>
          <c:yMode val="factor"/>
          <c:x val="0.114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01"/>
          <c:w val="0.8375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/>
            </c:numRef>
          </c:xVal>
          <c:yVal>
            <c:numRef>
              <c:f>Summary!$C$13:$C$22</c:f>
              <c:numCache/>
            </c:numRef>
          </c:yVal>
          <c:smooth val="0"/>
        </c:ser>
        <c:axId val="48270393"/>
        <c:axId val="31780354"/>
      </c:scatterChart>
      <c:valAx>
        <c:axId val="48270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780354"/>
        <c:crosses val="autoZero"/>
        <c:crossBetween val="midCat"/>
        <c:dispUnits/>
      </c:valAx>
      <c:valAx>
        <c:axId val="31780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2703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55"/>
          <c:w val="0.86425"/>
          <c:h val="0.8007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4.691735076250088</c:v>
                </c:pt>
                <c:pt idx="3">
                  <c:v>22.420358138545584</c:v>
                </c:pt>
                <c:pt idx="4">
                  <c:v>7.650841527515516</c:v>
                </c:pt>
                <c:pt idx="5">
                  <c:v>17.53942255308309</c:v>
                </c:pt>
                <c:pt idx="6">
                  <c:v>50.65944373425984</c:v>
                </c:pt>
                <c:pt idx="7">
                  <c:v>37.913251110741584</c:v>
                </c:pt>
                <c:pt idx="8">
                  <c:v>28.700860846081795</c:v>
                </c:pt>
                <c:pt idx="9">
                  <c:v>49.25444854902181</c:v>
                </c:pt>
              </c:numCache>
            </c:numRef>
          </c:xVal>
          <c:yVal>
            <c:numRef>
              <c:f>Summary!$D$13:$D$22</c:f>
              <c:numCache>
                <c:ptCount val="10"/>
                <c:pt idx="0">
                  <c:v>1</c:v>
                </c:pt>
                <c:pt idx="2">
                  <c:v>0.4716157205240175</c:v>
                </c:pt>
                <c:pt idx="3">
                  <c:v>0.6200873362445416</c:v>
                </c:pt>
                <c:pt idx="4">
                  <c:v>0.558951965065502</c:v>
                </c:pt>
                <c:pt idx="5">
                  <c:v>0.6681222707423581</c:v>
                </c:pt>
                <c:pt idx="6">
                  <c:v>0.39301310043668125</c:v>
                </c:pt>
                <c:pt idx="7">
                  <c:v>0.6899563318777292</c:v>
                </c:pt>
                <c:pt idx="8">
                  <c:v>0.9563318777292577</c:v>
                </c:pt>
                <c:pt idx="9">
                  <c:v>0.4628820960698691</c:v>
                </c:pt>
              </c:numCache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4.691735076250088</c:v>
                </c:pt>
                <c:pt idx="3">
                  <c:v>22.420358138545584</c:v>
                </c:pt>
                <c:pt idx="4">
                  <c:v>7.650841527515516</c:v>
                </c:pt>
                <c:pt idx="5">
                  <c:v>17.53942255308309</c:v>
                </c:pt>
                <c:pt idx="6">
                  <c:v>50.65944373425984</c:v>
                </c:pt>
                <c:pt idx="7">
                  <c:v>37.913251110741584</c:v>
                </c:pt>
                <c:pt idx="8">
                  <c:v>28.700860846081795</c:v>
                </c:pt>
                <c:pt idx="9">
                  <c:v>49.25444854902181</c:v>
                </c:pt>
              </c:numCache>
            </c:numRef>
          </c:xVal>
          <c:yVal>
            <c:numRef>
              <c:f>Summary!$E$13:$E$22</c:f>
              <c:numCache>
                <c:ptCount val="10"/>
                <c:pt idx="0">
                  <c:v>1</c:v>
                </c:pt>
                <c:pt idx="2">
                  <c:v>0.6518897756361993</c:v>
                </c:pt>
                <c:pt idx="3">
                  <c:v>0.8828209997598887</c:v>
                </c:pt>
                <c:pt idx="4">
                  <c:v>0.6392832207443654</c:v>
                </c:pt>
                <c:pt idx="5">
                  <c:v>0.7999875358164114</c:v>
                </c:pt>
                <c:pt idx="6">
                  <c:v>0.545121208000282</c:v>
                </c:pt>
                <c:pt idx="7">
                  <c:v>0.8918425152170864</c:v>
                </c:pt>
                <c:pt idx="8">
                  <c:v>1.3506955386485393</c:v>
                </c:pt>
                <c:pt idx="9">
                  <c:v>0.5780284903385478</c:v>
                </c:pt>
              </c:numCache>
            </c:numRef>
          </c:yVal>
          <c:smooth val="0"/>
        </c:ser>
        <c:axId val="17587731"/>
        <c:axId val="24071852"/>
      </c:scatterChart>
      <c:valAx>
        <c:axId val="17587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071852"/>
        <c:crossesAt val="0.001"/>
        <c:crossBetween val="midCat"/>
        <c:dispUnits/>
      </c:valAx>
      <c:valAx>
        <c:axId val="2407185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5877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"/>
          <c:y val="0.16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219.8062346372737</c:v>
                </c:pt>
                <c:pt idx="3">
                  <c:v>0</c:v>
                </c:pt>
                <c:pt idx="4">
                  <c:v>397.33533096412816</c:v>
                </c:pt>
                <c:pt idx="5">
                  <c:v>570.3379964282312</c:v>
                </c:pt>
                <c:pt idx="6">
                  <c:v>920.2271626167638</c:v>
                </c:pt>
                <c:pt idx="7">
                  <c:v>532.4882304847652</c:v>
                </c:pt>
                <c:pt idx="8">
                  <c:v>0</c:v>
                </c:pt>
                <c:pt idx="9">
                  <c:v>1552.5075498051078</c:v>
                </c:pt>
              </c:numCache>
            </c:numRef>
          </c:xVal>
          <c:y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4.691735076250088</c:v>
                </c:pt>
                <c:pt idx="3">
                  <c:v>22.420358138545584</c:v>
                </c:pt>
                <c:pt idx="4">
                  <c:v>7.650841527515516</c:v>
                </c:pt>
                <c:pt idx="5">
                  <c:v>17.53942255308309</c:v>
                </c:pt>
                <c:pt idx="6">
                  <c:v>50.65944373425984</c:v>
                </c:pt>
                <c:pt idx="7">
                  <c:v>37.913251110741584</c:v>
                </c:pt>
                <c:pt idx="8">
                  <c:v>28.700860846081795</c:v>
                </c:pt>
                <c:pt idx="9">
                  <c:v>49.25444854902181</c:v>
                </c:pt>
              </c:numCache>
            </c:numRef>
          </c:yVal>
          <c:smooth val="0"/>
        </c:ser>
        <c:axId val="15320077"/>
        <c:axId val="3662966"/>
      </c:scatterChart>
      <c:valAx>
        <c:axId val="15320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662966"/>
        <c:crosses val="autoZero"/>
        <c:crossBetween val="midCat"/>
        <c:dispUnits/>
      </c:valAx>
      <c:valAx>
        <c:axId val="3662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53200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19050</xdr:rowOff>
    </xdr:from>
    <xdr:to>
      <xdr:col>12</xdr:col>
      <xdr:colOff>600075</xdr:colOff>
      <xdr:row>17</xdr:row>
      <xdr:rowOff>9525</xdr:rowOff>
    </xdr:to>
    <xdr:graphicFrame>
      <xdr:nvGraphicFramePr>
        <xdr:cNvPr id="1" name="Chart 2"/>
        <xdr:cNvGraphicFramePr/>
      </xdr:nvGraphicFramePr>
      <xdr:xfrm>
        <a:off x="3943350" y="19050"/>
        <a:ext cx="4276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18</xdr:row>
      <xdr:rowOff>38100</xdr:rowOff>
    </xdr:from>
    <xdr:to>
      <xdr:col>12</xdr:col>
      <xdr:colOff>600075</xdr:colOff>
      <xdr:row>36</xdr:row>
      <xdr:rowOff>133350</xdr:rowOff>
    </xdr:to>
    <xdr:graphicFrame>
      <xdr:nvGraphicFramePr>
        <xdr:cNvPr id="2" name="Chart 3"/>
        <xdr:cNvGraphicFramePr/>
      </xdr:nvGraphicFramePr>
      <xdr:xfrm>
        <a:off x="3971925" y="2952750"/>
        <a:ext cx="42481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0</xdr:row>
      <xdr:rowOff>19050</xdr:rowOff>
    </xdr:from>
    <xdr:to>
      <xdr:col>11</xdr:col>
      <xdr:colOff>600075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3800475" y="19050"/>
        <a:ext cx="38766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381000</xdr:colOff>
      <xdr:row>18</xdr:row>
      <xdr:rowOff>114300</xdr:rowOff>
    </xdr:from>
    <xdr:to>
      <xdr:col>11</xdr:col>
      <xdr:colOff>542925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3800475" y="3028950"/>
        <a:ext cx="38195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6">
      <selection activeCell="D14" sqref="D14"/>
    </sheetView>
  </sheetViews>
  <sheetFormatPr defaultColWidth="9.140625" defaultRowHeight="12.75"/>
  <cols>
    <col min="1" max="1" width="36.8515625" style="24" customWidth="1"/>
    <col min="2" max="2" width="20.00390625" style="22" customWidth="1"/>
    <col min="3" max="3" width="36.8515625" style="0" customWidth="1"/>
    <col min="4" max="4" width="9.57421875" style="0" bestFit="1" customWidth="1"/>
  </cols>
  <sheetData>
    <row r="1" spans="1:2" ht="12.75">
      <c r="A1" s="24" t="s">
        <v>20</v>
      </c>
      <c r="B1" s="48" t="s">
        <v>101</v>
      </c>
    </row>
    <row r="2" ht="12.75">
      <c r="B2" s="61"/>
    </row>
    <row r="3" spans="1:2" ht="12.75">
      <c r="A3" s="24" t="s">
        <v>15</v>
      </c>
      <c r="B3" s="48" t="s">
        <v>101</v>
      </c>
    </row>
    <row r="4" spans="1:3" ht="12.75">
      <c r="A4" s="24" t="s">
        <v>16</v>
      </c>
      <c r="B4" s="50" t="s">
        <v>90</v>
      </c>
      <c r="C4" s="20"/>
    </row>
    <row r="5" spans="1:2" ht="12.75">
      <c r="A5" s="24" t="s">
        <v>17</v>
      </c>
      <c r="B5" s="50" t="s">
        <v>98</v>
      </c>
    </row>
    <row r="6" spans="1:2" ht="12.75">
      <c r="A6" s="24" t="s">
        <v>81</v>
      </c>
      <c r="B6" s="50" t="s">
        <v>91</v>
      </c>
    </row>
    <row r="7" spans="1:2" ht="12.75">
      <c r="A7" s="24" t="s">
        <v>21</v>
      </c>
      <c r="B7" s="50" t="s">
        <v>92</v>
      </c>
    </row>
    <row r="8" spans="1:3" ht="12.75">
      <c r="A8" s="24" t="s">
        <v>22</v>
      </c>
      <c r="B8" s="50">
        <v>4500.45</v>
      </c>
      <c r="C8" s="20" t="s">
        <v>72</v>
      </c>
    </row>
    <row r="9" spans="1:3" ht="12.75">
      <c r="A9" s="24" t="s">
        <v>39</v>
      </c>
      <c r="B9" s="50">
        <v>1</v>
      </c>
      <c r="C9" s="20" t="s">
        <v>73</v>
      </c>
    </row>
    <row r="10" spans="1:2" ht="12.75">
      <c r="A10" s="24" t="s">
        <v>18</v>
      </c>
      <c r="B10" s="50" t="s">
        <v>93</v>
      </c>
    </row>
    <row r="11" spans="1:2" ht="12.75">
      <c r="A11" s="24" t="s">
        <v>19</v>
      </c>
      <c r="B11" s="50" t="s">
        <v>94</v>
      </c>
    </row>
    <row r="12" spans="1:4" ht="12.75">
      <c r="A12" s="24" t="s">
        <v>27</v>
      </c>
      <c r="B12" s="52" t="s">
        <v>102</v>
      </c>
      <c r="C12" s="20" t="s">
        <v>25</v>
      </c>
      <c r="D12" s="56">
        <v>37</v>
      </c>
    </row>
    <row r="13" spans="1:4" ht="12.75">
      <c r="A13" s="24" t="s">
        <v>28</v>
      </c>
      <c r="B13" s="48" t="s">
        <v>101</v>
      </c>
      <c r="C13" s="20" t="s">
        <v>89</v>
      </c>
      <c r="D13" s="57">
        <v>0</v>
      </c>
    </row>
    <row r="14" spans="1:4" ht="12.75">
      <c r="A14" s="24" t="s">
        <v>83</v>
      </c>
      <c r="B14" s="51">
        <v>0.5</v>
      </c>
      <c r="C14" s="20" t="s">
        <v>26</v>
      </c>
      <c r="D14" s="47">
        <f>$D$12*EXP(-0.693*$D$13/($B$8))</f>
        <v>37</v>
      </c>
    </row>
    <row r="15" ht="12.75">
      <c r="B15" s="61"/>
    </row>
    <row r="16" spans="1:2" ht="12.75">
      <c r="A16" s="24" t="s">
        <v>35</v>
      </c>
      <c r="B16" s="49" t="s">
        <v>95</v>
      </c>
    </row>
    <row r="17" spans="1:2" ht="12.75">
      <c r="A17" s="24" t="s">
        <v>62</v>
      </c>
      <c r="B17" s="50">
        <v>6</v>
      </c>
    </row>
    <row r="18" spans="1:2" ht="12.75">
      <c r="A18" s="24" t="s">
        <v>38</v>
      </c>
      <c r="B18" s="50" t="s">
        <v>96</v>
      </c>
    </row>
    <row r="19" spans="1:2" ht="12.75">
      <c r="A19" s="24" t="s">
        <v>36</v>
      </c>
      <c r="B19" s="50" t="s">
        <v>97</v>
      </c>
    </row>
    <row r="20" spans="1:2" ht="12.75">
      <c r="A20" s="24" t="s">
        <v>37</v>
      </c>
      <c r="B20" s="51">
        <v>0.65</v>
      </c>
    </row>
    <row r="21" ht="12.75">
      <c r="B21" s="61"/>
    </row>
    <row r="22" spans="1:2" ht="12.75">
      <c r="A22" s="24" t="s">
        <v>23</v>
      </c>
      <c r="B22" s="48" t="s">
        <v>99</v>
      </c>
    </row>
    <row r="23" spans="1:4" ht="12.75">
      <c r="A23" s="24" t="s">
        <v>24</v>
      </c>
      <c r="B23" s="48" t="s">
        <v>100</v>
      </c>
      <c r="C23" s="20" t="s">
        <v>29</v>
      </c>
      <c r="D23" s="27">
        <v>22.5</v>
      </c>
    </row>
    <row r="24" spans="1:4" ht="12.75">
      <c r="A24" s="24" t="s">
        <v>69</v>
      </c>
      <c r="B24" s="48" t="s">
        <v>103</v>
      </c>
      <c r="C24" s="20" t="s">
        <v>30</v>
      </c>
      <c r="D24" s="27">
        <v>312</v>
      </c>
    </row>
    <row r="25" spans="1:4" ht="12.75">
      <c r="A25" s="24" t="s">
        <v>70</v>
      </c>
      <c r="B25" s="48" t="s">
        <v>104</v>
      </c>
      <c r="C25" s="20" t="s">
        <v>71</v>
      </c>
      <c r="D25" s="27">
        <v>312</v>
      </c>
    </row>
    <row r="26" spans="1:2" ht="12.75">
      <c r="A26" s="24" t="s">
        <v>58</v>
      </c>
      <c r="B26" s="50">
        <v>30</v>
      </c>
    </row>
    <row r="27" spans="1:2" ht="12.75">
      <c r="A27" s="24" t="s">
        <v>59</v>
      </c>
      <c r="B27" s="51">
        <v>100</v>
      </c>
    </row>
    <row r="28" ht="12.75">
      <c r="B28" s="61"/>
    </row>
    <row r="29" spans="1:2" ht="12.75">
      <c r="A29" s="24" t="s">
        <v>60</v>
      </c>
      <c r="B29" s="49">
        <v>100</v>
      </c>
    </row>
    <row r="30" spans="1:5" ht="12.75">
      <c r="A30" s="24" t="s">
        <v>61</v>
      </c>
      <c r="B30" s="51">
        <v>500</v>
      </c>
      <c r="E30" s="20" t="s">
        <v>82</v>
      </c>
    </row>
    <row r="31" spans="1:6" ht="12.75">
      <c r="A31" s="24" t="s">
        <v>31</v>
      </c>
      <c r="B31" s="60">
        <f>AVERAGE(D32:F32)</f>
        <v>14</v>
      </c>
      <c r="D31" s="20" t="s">
        <v>32</v>
      </c>
      <c r="E31" s="20" t="s">
        <v>33</v>
      </c>
      <c r="F31" s="20" t="s">
        <v>34</v>
      </c>
    </row>
    <row r="32" spans="1:6" ht="12.75">
      <c r="A32" s="25" t="s">
        <v>49</v>
      </c>
      <c r="B32" s="23">
        <v>400</v>
      </c>
      <c r="D32" s="53">
        <v>14</v>
      </c>
      <c r="E32" s="54">
        <v>14</v>
      </c>
      <c r="F32" s="55">
        <v>14</v>
      </c>
    </row>
    <row r="33" spans="1:2" ht="12.75">
      <c r="A33" s="24" t="s">
        <v>84</v>
      </c>
      <c r="B33" s="64"/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34"/>
  <sheetViews>
    <sheetView workbookViewId="0" topLeftCell="A1">
      <pane xSplit="11610" topLeftCell="U1" activePane="topLeft" state="split"/>
      <selection pane="topLeft" activeCell="D23" sqref="D23"/>
      <selection pane="topRight" activeCell="X114" sqref="X114:Y126"/>
    </sheetView>
  </sheetViews>
  <sheetFormatPr defaultColWidth="9.140625" defaultRowHeight="12.75"/>
  <cols>
    <col min="1" max="1" width="6.140625" style="0" customWidth="1"/>
    <col min="2" max="2" width="11.140625" style="0" customWidth="1"/>
    <col min="3" max="3" width="12.421875" style="0" customWidth="1"/>
    <col min="4" max="4" width="11.8515625" style="0" customWidth="1"/>
    <col min="5" max="5" width="8.57421875" style="0" customWidth="1"/>
    <col min="6" max="6" width="10.140625" style="0" customWidth="1"/>
    <col min="7" max="7" width="10.00390625" style="0" customWidth="1"/>
    <col min="8" max="8" width="12.00390625" style="0" customWidth="1"/>
    <col min="9" max="9" width="11.7109375" style="0" customWidth="1"/>
    <col min="10" max="10" width="9.28125" style="0" customWidth="1"/>
    <col min="16" max="16" width="9.421875" style="0" customWidth="1"/>
  </cols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1" t="s">
        <v>45</v>
      </c>
      <c r="B3" s="21"/>
      <c r="C3" s="21" t="str">
        <f>Parameters!$B$3</f>
        <v>Feb., 15, 2001</v>
      </c>
      <c r="D3" s="21"/>
      <c r="E3" s="21"/>
      <c r="F3" s="21"/>
      <c r="G3" s="21"/>
      <c r="H3" s="21"/>
      <c r="I3" s="21"/>
      <c r="J3" s="21"/>
    </row>
    <row r="4" spans="1:10" ht="12.75">
      <c r="A4" s="21" t="s">
        <v>66</v>
      </c>
      <c r="B4" s="21"/>
      <c r="C4" s="30" t="str">
        <f>Parameters!$B$1</f>
        <v>Feb., 15, 2001</v>
      </c>
      <c r="D4" s="21"/>
      <c r="E4" s="21"/>
      <c r="F4" s="21"/>
      <c r="G4" s="21"/>
      <c r="H4" s="21"/>
      <c r="I4" s="21"/>
      <c r="J4" s="21"/>
    </row>
    <row r="5" spans="1:10" ht="12.7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9" ht="12.75">
      <c r="A7" s="20" t="s">
        <v>1</v>
      </c>
      <c r="B7" s="31"/>
      <c r="C7" s="31" t="s">
        <v>40</v>
      </c>
      <c r="D7" s="31"/>
      <c r="E7" s="31" t="s">
        <v>9</v>
      </c>
      <c r="F7" s="31" t="s">
        <v>9</v>
      </c>
      <c r="G7" s="31" t="s">
        <v>6</v>
      </c>
      <c r="H7" s="31" t="s">
        <v>74</v>
      </c>
      <c r="I7" s="31" t="s">
        <v>75</v>
      </c>
      <c r="J7" s="31" t="s">
        <v>75</v>
      </c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20"/>
      <c r="B8" s="31"/>
      <c r="C8" s="31" t="s">
        <v>2</v>
      </c>
      <c r="D8" s="31"/>
      <c r="E8" s="31" t="s">
        <v>8</v>
      </c>
      <c r="F8" s="31" t="s">
        <v>10</v>
      </c>
      <c r="G8" s="31" t="s">
        <v>41</v>
      </c>
      <c r="H8" s="32" t="s">
        <v>76</v>
      </c>
      <c r="I8" s="32" t="s">
        <v>77</v>
      </c>
      <c r="J8" s="31" t="s">
        <v>44</v>
      </c>
      <c r="K8" s="8"/>
      <c r="L8" s="8"/>
      <c r="M8" s="8"/>
      <c r="N8" s="8"/>
      <c r="O8" s="8"/>
      <c r="P8" s="8"/>
      <c r="Q8" s="8"/>
      <c r="R8" s="8"/>
      <c r="S8" s="8"/>
    </row>
    <row r="9" spans="1:19" ht="14.25" customHeight="1">
      <c r="A9" s="20"/>
      <c r="B9" s="31" t="s">
        <v>4</v>
      </c>
      <c r="C9" s="31" t="s">
        <v>3</v>
      </c>
      <c r="D9" s="31" t="s">
        <v>5</v>
      </c>
      <c r="E9" s="31"/>
      <c r="F9" s="31" t="s">
        <v>11</v>
      </c>
      <c r="G9" s="31"/>
      <c r="H9" s="31" t="s">
        <v>7</v>
      </c>
      <c r="I9" s="31" t="s">
        <v>42</v>
      </c>
      <c r="J9" s="31" t="s">
        <v>42</v>
      </c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21"/>
      <c r="B10" s="31"/>
      <c r="C10" s="31"/>
      <c r="D10" s="31"/>
      <c r="E10" s="31"/>
      <c r="F10" s="31"/>
      <c r="G10" s="31"/>
      <c r="H10" s="31"/>
      <c r="I10" s="31" t="s">
        <v>43</v>
      </c>
      <c r="J10" s="31"/>
      <c r="K10" s="8"/>
      <c r="L10" s="8"/>
      <c r="M10" s="8"/>
      <c r="N10" s="8"/>
      <c r="O10" s="8"/>
      <c r="P10" s="8"/>
      <c r="Q10" s="8"/>
      <c r="R10" s="8"/>
      <c r="S10" s="8"/>
    </row>
    <row r="11" spans="1:19" s="19" customFormat="1" ht="13.5" thickBot="1">
      <c r="A11" s="16"/>
      <c r="B11" s="16"/>
      <c r="C11" s="16"/>
      <c r="D11" s="16"/>
      <c r="E11" s="17"/>
      <c r="F11" s="17"/>
      <c r="G11" s="17"/>
      <c r="H11" s="17"/>
      <c r="I11" s="17"/>
      <c r="J11" s="16"/>
      <c r="K11" s="18"/>
      <c r="L11" s="18"/>
      <c r="M11" s="18"/>
      <c r="N11" s="18"/>
      <c r="O11" s="18"/>
      <c r="P11" s="18"/>
      <c r="Q11" s="18"/>
      <c r="R11" s="18"/>
      <c r="S11" s="18"/>
    </row>
    <row r="12" spans="1:10" ht="12.75">
      <c r="A12" s="20"/>
      <c r="B12" s="10"/>
      <c r="C12" s="10"/>
      <c r="D12" s="10"/>
      <c r="E12" s="10"/>
      <c r="F12" s="10"/>
      <c r="G12" s="10"/>
      <c r="H12" s="10"/>
      <c r="I12" s="10"/>
      <c r="J12" s="10"/>
    </row>
    <row r="13" spans="1:15" ht="12.75">
      <c r="A13" s="33">
        <v>1</v>
      </c>
      <c r="B13" s="28">
        <v>22</v>
      </c>
      <c r="C13" s="28">
        <v>12</v>
      </c>
      <c r="D13" s="28">
        <v>57</v>
      </c>
      <c r="E13" s="34">
        <f>AVERAGE(B13:D13,B14:D14)</f>
        <v>32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O13" s="2"/>
    </row>
    <row r="14" spans="1:15" ht="12.75">
      <c r="A14" s="33">
        <v>2</v>
      </c>
      <c r="B14" s="28">
        <v>15</v>
      </c>
      <c r="C14" s="28">
        <v>19</v>
      </c>
      <c r="D14" s="28">
        <v>67</v>
      </c>
      <c r="E14" s="34"/>
      <c r="F14" s="40">
        <v>0</v>
      </c>
      <c r="G14" s="40">
        <v>0</v>
      </c>
      <c r="H14" s="40">
        <v>0</v>
      </c>
      <c r="I14" s="40">
        <v>0</v>
      </c>
      <c r="J14" s="40">
        <v>0</v>
      </c>
      <c r="O14" s="2"/>
    </row>
    <row r="15" spans="1:18" ht="12.75">
      <c r="A15" s="20">
        <v>3</v>
      </c>
      <c r="B15" s="29">
        <v>270507</v>
      </c>
      <c r="C15" s="29">
        <v>296453</v>
      </c>
      <c r="D15" s="29">
        <v>203113</v>
      </c>
      <c r="E15" s="35">
        <f>AVERAGE(B15:D15)</f>
        <v>256691</v>
      </c>
      <c r="F15" s="36">
        <f>(E15-E13)</f>
        <v>256659</v>
      </c>
      <c r="G15" s="35">
        <f>F15/(Parameters!$B$9*Parameters!$B$20)</f>
        <v>394860</v>
      </c>
      <c r="H15" s="37">
        <f>G15/(37000*60*Parameters!$B$26/1000)</f>
        <v>5.928828828828829</v>
      </c>
      <c r="I15" s="37">
        <f>H15/EXP(-0.693*Parameters!$D$24/(Parameters!$B$8*24))</f>
        <v>5.9407090442506405</v>
      </c>
      <c r="J15" s="37">
        <f>I15*37</f>
        <v>219.8062346372737</v>
      </c>
      <c r="O15" s="2"/>
      <c r="P15" s="9"/>
      <c r="Q15" s="2"/>
      <c r="R15" s="1"/>
    </row>
    <row r="16" spans="1:18" ht="12.75">
      <c r="A16" s="20">
        <v>4</v>
      </c>
      <c r="B16" s="29"/>
      <c r="C16" s="29"/>
      <c r="D16" s="29"/>
      <c r="E16" s="35" t="e">
        <f aca="true" t="shared" si="0" ref="E16:E22">AVERAGE(B16:D16)</f>
        <v>#DIV/0!</v>
      </c>
      <c r="F16" s="36" t="e">
        <f>E16-E13</f>
        <v>#DIV/0!</v>
      </c>
      <c r="G16" s="35" t="e">
        <f>F16/(Parameters!$B$9*Parameters!$B$20)</f>
        <v>#DIV/0!</v>
      </c>
      <c r="H16" s="37" t="e">
        <f>G16/(37000*60*Parameters!$B$26/1000)</f>
        <v>#DIV/0!</v>
      </c>
      <c r="I16" s="37" t="e">
        <f>H16/EXP(-0.693*Parameters!$D$24/(Parameters!$B$8*24))</f>
        <v>#DIV/0!</v>
      </c>
      <c r="J16" s="37" t="e">
        <f aca="true" t="shared" si="1" ref="J16:J22">I16*37</f>
        <v>#DIV/0!</v>
      </c>
      <c r="O16" s="2"/>
      <c r="P16" s="9"/>
      <c r="Q16" s="2"/>
      <c r="R16" s="1"/>
    </row>
    <row r="17" spans="1:18" ht="12.75">
      <c r="A17" s="20">
        <v>5</v>
      </c>
      <c r="B17" s="29">
        <v>397187</v>
      </c>
      <c r="C17" s="29">
        <v>583180</v>
      </c>
      <c r="D17" s="29">
        <v>411587</v>
      </c>
      <c r="E17" s="35">
        <f t="shared" si="0"/>
        <v>463984.6666666667</v>
      </c>
      <c r="F17" s="36">
        <f>E17-E13</f>
        <v>463952.6666666667</v>
      </c>
      <c r="G17" s="35">
        <f>F17/(Parameters!$B$9*Parameters!$B$20)</f>
        <v>713773.3333333334</v>
      </c>
      <c r="H17" s="37">
        <f>G17/(37000*60*Parameters!$B$26/1000)</f>
        <v>10.717317317317319</v>
      </c>
      <c r="I17" s="37">
        <f>H17/EXP(-0.693*Parameters!$D$24/(Parameters!$B$8*24))</f>
        <v>10.73879272876022</v>
      </c>
      <c r="J17" s="37">
        <f t="shared" si="1"/>
        <v>397.33533096412816</v>
      </c>
      <c r="O17" s="2"/>
      <c r="P17" s="9"/>
      <c r="Q17" s="2"/>
      <c r="R17" s="1"/>
    </row>
    <row r="18" spans="1:18" ht="12.75">
      <c r="A18" s="20">
        <v>6</v>
      </c>
      <c r="B18" s="29">
        <v>600373</v>
      </c>
      <c r="C18" s="29">
        <v>606500</v>
      </c>
      <c r="D18" s="29">
        <v>791106</v>
      </c>
      <c r="E18" s="35">
        <f t="shared" si="0"/>
        <v>665993</v>
      </c>
      <c r="F18" s="36">
        <f>E18-E13</f>
        <v>665961</v>
      </c>
      <c r="G18" s="35">
        <f>F18/(Parameters!$B$9*Parameters!$B$20)</f>
        <v>1024555.3846153846</v>
      </c>
      <c r="H18" s="37">
        <f>G18/(37000*60*Parameters!$B$26/1000)</f>
        <v>15.383714483714483</v>
      </c>
      <c r="I18" s="37">
        <f>H18/EXP(-0.693*Parameters!$D$24/(Parameters!$B$8*24))</f>
        <v>15.414540444006251</v>
      </c>
      <c r="J18" s="37">
        <f t="shared" si="1"/>
        <v>570.3379964282312</v>
      </c>
      <c r="O18" s="2"/>
      <c r="P18" s="9"/>
      <c r="Q18" s="2"/>
      <c r="R18" s="1"/>
    </row>
    <row r="19" spans="1:18" ht="12.75">
      <c r="A19" s="20">
        <v>7</v>
      </c>
      <c r="B19" s="29">
        <v>1005247</v>
      </c>
      <c r="C19" s="29">
        <v>1154727</v>
      </c>
      <c r="D19" s="29">
        <v>1063660</v>
      </c>
      <c r="E19" s="35">
        <f t="shared" si="0"/>
        <v>1074544.6666666667</v>
      </c>
      <c r="F19" s="36">
        <f>E19-E13</f>
        <v>1074512.6666666667</v>
      </c>
      <c r="G19" s="35">
        <f>F19/(Parameters!$B$9*Parameters!$B$20)</f>
        <v>1653096.4102564103</v>
      </c>
      <c r="H19" s="37">
        <f>G19/(37000*60*Parameters!$B$26/1000)</f>
        <v>24.82126742126742</v>
      </c>
      <c r="I19" s="37">
        <f>H19/EXP(-0.693*Parameters!$D$24/(Parameters!$B$8*24))</f>
        <v>24.87100439504767</v>
      </c>
      <c r="J19" s="37">
        <f t="shared" si="1"/>
        <v>920.2271626167638</v>
      </c>
      <c r="O19" s="2"/>
      <c r="P19" s="9"/>
      <c r="Q19" s="2"/>
      <c r="R19" s="1"/>
    </row>
    <row r="20" spans="1:18" ht="12.75">
      <c r="A20" s="20">
        <v>8</v>
      </c>
      <c r="B20" s="29">
        <v>613026</v>
      </c>
      <c r="C20" s="29">
        <v>611520</v>
      </c>
      <c r="D20" s="29">
        <v>640846</v>
      </c>
      <c r="E20" s="35">
        <f t="shared" si="0"/>
        <v>621797.3333333334</v>
      </c>
      <c r="F20" s="36">
        <f>E20-E13</f>
        <v>621765.3333333334</v>
      </c>
      <c r="G20" s="35">
        <f>F20/(Parameters!$B$9*Parameters!$B$20)</f>
        <v>956562.0512820513</v>
      </c>
      <c r="H20" s="37">
        <f>G20/(37000*60*Parameters!$B$26/1000)</f>
        <v>14.362793562793563</v>
      </c>
      <c r="I20" s="37">
        <f>H20/EXP(-0.693*Parameters!$D$24/(Parameters!$B$8*24))</f>
        <v>14.391573796885545</v>
      </c>
      <c r="J20" s="37">
        <f t="shared" si="1"/>
        <v>532.4882304847652</v>
      </c>
      <c r="O20" s="2"/>
      <c r="P20" s="9"/>
      <c r="Q20" s="2"/>
      <c r="R20" s="1"/>
    </row>
    <row r="21" spans="1:18" ht="12.75">
      <c r="A21" s="20">
        <v>9</v>
      </c>
      <c r="B21" s="29"/>
      <c r="C21" s="29"/>
      <c r="D21" s="29"/>
      <c r="E21" s="35" t="e">
        <f t="shared" si="0"/>
        <v>#DIV/0!</v>
      </c>
      <c r="F21" s="36" t="e">
        <f>E21-E13</f>
        <v>#DIV/0!</v>
      </c>
      <c r="G21" s="35" t="e">
        <f>F21/(Parameters!$B$9*Parameters!$B$20)</f>
        <v>#DIV/0!</v>
      </c>
      <c r="H21" s="37" t="e">
        <f>G21/(37000*60*Parameters!$B$26/1000)</f>
        <v>#DIV/0!</v>
      </c>
      <c r="I21" s="37" t="e">
        <f>H21/EXP(-0.693*Parameters!$D$24/(Parameters!$B$8*24))</f>
        <v>#DIV/0!</v>
      </c>
      <c r="J21" s="37" t="e">
        <f t="shared" si="1"/>
        <v>#DIV/0!</v>
      </c>
      <c r="O21" s="2"/>
      <c r="P21" s="9"/>
      <c r="Q21" s="2"/>
      <c r="R21" s="1"/>
    </row>
    <row r="22" spans="1:18" ht="12.75">
      <c r="A22" s="20">
        <v>10</v>
      </c>
      <c r="B22" s="29">
        <v>1593580</v>
      </c>
      <c r="C22" s="29">
        <v>2277680</v>
      </c>
      <c r="D22" s="29">
        <v>1567240</v>
      </c>
      <c r="E22" s="35">
        <f t="shared" si="0"/>
        <v>1812833.3333333333</v>
      </c>
      <c r="F22" s="36">
        <f>E22-E13</f>
        <v>1812801.3333333333</v>
      </c>
      <c r="G22" s="35">
        <f>F22/(Parameters!$B$9*Parameters!$B$20)</f>
        <v>2788925.128205128</v>
      </c>
      <c r="H22" s="37">
        <f>G22/(37000*60*Parameters!$B$26/1000)</f>
        <v>41.87575267575267</v>
      </c>
      <c r="I22" s="37">
        <f>H22/EXP(-0.693*Parameters!$D$24/(Parameters!$B$8*24))</f>
        <v>41.95966350824616</v>
      </c>
      <c r="J22" s="37">
        <f t="shared" si="1"/>
        <v>1552.5075498051078</v>
      </c>
      <c r="O22" s="2"/>
      <c r="P22" s="9"/>
      <c r="Q22" s="2"/>
      <c r="R22" s="1"/>
    </row>
    <row r="23" spans="1:18" ht="12.75">
      <c r="A23" s="10"/>
      <c r="B23" s="10"/>
      <c r="C23" s="10"/>
      <c r="D23" s="10"/>
      <c r="E23" s="11"/>
      <c r="F23" s="13"/>
      <c r="G23" s="11"/>
      <c r="H23" s="12"/>
      <c r="I23" s="10"/>
      <c r="J23" s="10"/>
      <c r="O23" s="2"/>
      <c r="P23" s="4"/>
      <c r="Q23" s="2"/>
      <c r="R23" s="1"/>
    </row>
    <row r="24" spans="1:18" ht="12.75">
      <c r="A24" s="10"/>
      <c r="B24" s="10"/>
      <c r="C24" s="10"/>
      <c r="D24" s="10"/>
      <c r="E24" s="11"/>
      <c r="F24" s="14"/>
      <c r="G24" s="11"/>
      <c r="H24" s="12"/>
      <c r="I24" s="10"/>
      <c r="J24" s="10"/>
      <c r="O24" s="2"/>
      <c r="P24" s="5"/>
      <c r="Q24" s="2"/>
      <c r="R24" s="1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33" spans="17:18" ht="12.75">
      <c r="Q33" s="3"/>
      <c r="R33" s="3"/>
    </row>
    <row r="39" spans="7:17" ht="12.75">
      <c r="G39" s="10"/>
      <c r="H39" s="10"/>
      <c r="I39" s="10"/>
      <c r="J39" s="10"/>
      <c r="O39" s="2"/>
      <c r="P39" s="2"/>
      <c r="Q39" s="6"/>
    </row>
    <row r="40" spans="7:17" ht="12.75">
      <c r="G40" s="10"/>
      <c r="H40" s="10"/>
      <c r="I40" s="10"/>
      <c r="J40" s="10"/>
      <c r="O40" s="2"/>
      <c r="P40" s="2"/>
      <c r="Q40" s="6"/>
    </row>
    <row r="41" spans="7:17" ht="12" customHeight="1">
      <c r="G41" s="10"/>
      <c r="H41" s="10"/>
      <c r="I41" s="10"/>
      <c r="J41" s="10"/>
      <c r="O41" s="2"/>
      <c r="P41" s="2"/>
      <c r="Q41" s="6"/>
    </row>
    <row r="42" spans="7:17" ht="12.75">
      <c r="G42" s="10"/>
      <c r="H42" s="10"/>
      <c r="I42" s="10"/>
      <c r="J42" s="10"/>
      <c r="O42" s="2"/>
      <c r="P42" s="2"/>
      <c r="Q42" s="6"/>
    </row>
    <row r="43" spans="7:17" ht="12.75">
      <c r="G43" s="10"/>
      <c r="H43" s="10"/>
      <c r="I43" s="10"/>
      <c r="J43" s="10"/>
      <c r="O43" s="2"/>
      <c r="P43" s="2"/>
      <c r="Q43" s="6"/>
    </row>
    <row r="44" spans="7:17" ht="12.75">
      <c r="G44" s="10"/>
      <c r="H44" s="10"/>
      <c r="I44" s="10"/>
      <c r="J44" s="10"/>
      <c r="O44" s="2"/>
      <c r="P44" s="2"/>
      <c r="Q44" s="6"/>
    </row>
    <row r="45" spans="10:17" ht="12.75">
      <c r="J45" s="3"/>
      <c r="O45" s="2"/>
      <c r="P45" s="2"/>
      <c r="Q45" s="6"/>
    </row>
    <row r="46" spans="10:17" ht="12.75">
      <c r="J46" s="10"/>
      <c r="O46" s="2"/>
      <c r="P46" s="2"/>
      <c r="Q46" s="6"/>
    </row>
    <row r="47" spans="10:17" ht="12.75">
      <c r="J47" s="10"/>
      <c r="O47" s="2"/>
      <c r="P47" s="2"/>
      <c r="Q47" s="6"/>
    </row>
    <row r="48" spans="10:17" ht="12.75">
      <c r="J48" s="10"/>
      <c r="O48" s="2"/>
      <c r="P48" s="2"/>
      <c r="Q48" s="6"/>
    </row>
    <row r="49" ht="12.75">
      <c r="J49" s="10"/>
    </row>
    <row r="50" ht="12.75" customHeight="1">
      <c r="J50" s="10"/>
    </row>
    <row r="51" ht="12.75">
      <c r="J51" s="10"/>
    </row>
    <row r="52" ht="12.75">
      <c r="J52" s="10"/>
    </row>
    <row r="53" ht="12.75">
      <c r="J53" s="15"/>
    </row>
    <row r="54" ht="12.75">
      <c r="J54" s="15"/>
    </row>
    <row r="55" ht="12.75">
      <c r="J55" s="15"/>
    </row>
    <row r="56" ht="12.75">
      <c r="J56" s="15"/>
    </row>
    <row r="57" ht="12.75">
      <c r="J57" s="15"/>
    </row>
    <row r="58" ht="12.75">
      <c r="J58" s="15"/>
    </row>
    <row r="59" ht="12.75">
      <c r="J59" s="15"/>
    </row>
    <row r="60" ht="12.75">
      <c r="J60" s="15"/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5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5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114" ht="12.75">
      <c r="N114" s="7"/>
    </row>
    <row r="116" ht="12.75">
      <c r="N116" s="7"/>
    </row>
    <row r="118" ht="12.75">
      <c r="N118" s="7"/>
    </row>
    <row r="120" ht="12.75">
      <c r="N120" s="7"/>
    </row>
    <row r="122" ht="12.75">
      <c r="N122" s="7"/>
    </row>
    <row r="124" ht="12.75">
      <c r="N124" s="7"/>
    </row>
    <row r="134" ht="12.75">
      <c r="N134" s="2"/>
    </row>
  </sheetData>
  <sheetProtection password="D86A" sheet="1" objects="1" scenarios="1"/>
  <printOptions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I16" sqref="I16"/>
    </sheetView>
  </sheetViews>
  <sheetFormatPr defaultColWidth="9.140625" defaultRowHeight="12.75"/>
  <cols>
    <col min="1" max="1" width="9.140625" style="20" customWidth="1"/>
    <col min="6" max="6" width="10.8515625" style="0" customWidth="1"/>
    <col min="7" max="7" width="11.57421875" style="0" customWidth="1"/>
    <col min="8" max="8" width="12.00390625" style="0" customWidth="1"/>
    <col min="9" max="9" width="11.8515625" style="0" customWidth="1"/>
    <col min="10" max="10" width="11.421875" style="0" customWidth="1"/>
  </cols>
  <sheetData>
    <row r="1" spans="2:10" ht="12.75">
      <c r="B1" s="21"/>
      <c r="C1" s="21"/>
      <c r="D1" s="21"/>
      <c r="E1" s="21"/>
      <c r="F1" s="21"/>
      <c r="G1" s="21"/>
      <c r="H1" s="21"/>
      <c r="I1" s="21"/>
      <c r="J1" s="21"/>
    </row>
    <row r="2" spans="2:10" ht="12.75"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0" t="s">
        <v>45</v>
      </c>
      <c r="B3" s="21"/>
      <c r="C3" s="21" t="str">
        <f>Parameters!$B$3</f>
        <v>Feb., 15, 2001</v>
      </c>
      <c r="D3" s="21"/>
      <c r="E3" s="21"/>
      <c r="F3" s="21"/>
      <c r="G3" s="21"/>
      <c r="H3" s="21"/>
      <c r="I3" s="21"/>
      <c r="J3" s="21"/>
    </row>
    <row r="4" spans="1:10" ht="12.75">
      <c r="A4" s="20" t="s">
        <v>66</v>
      </c>
      <c r="B4" s="21"/>
      <c r="C4" s="38" t="str">
        <f>Parameters!$B$1</f>
        <v>Feb., 15, 2001</v>
      </c>
      <c r="D4" s="21"/>
      <c r="E4" s="21"/>
      <c r="F4" s="21"/>
      <c r="G4" s="21"/>
      <c r="H4" s="21"/>
      <c r="I4" s="21"/>
      <c r="J4" s="21"/>
    </row>
    <row r="5" spans="2:10" ht="12.75">
      <c r="B5" s="21"/>
      <c r="C5" s="21"/>
      <c r="D5" s="21"/>
      <c r="E5" s="21"/>
      <c r="F5" s="21"/>
      <c r="G5" s="21"/>
      <c r="H5" s="21"/>
      <c r="I5" s="21"/>
      <c r="J5" s="21"/>
    </row>
    <row r="6" spans="2:10" ht="12.75">
      <c r="B6" s="21"/>
      <c r="C6" s="21"/>
      <c r="D6" s="21"/>
      <c r="E6" s="21"/>
      <c r="F6" s="21"/>
      <c r="G6" s="21"/>
      <c r="H6" s="21"/>
      <c r="I6" s="21"/>
      <c r="J6" s="21"/>
    </row>
    <row r="7" spans="1:10" ht="15.75">
      <c r="A7" s="20" t="s">
        <v>1</v>
      </c>
      <c r="B7" s="31"/>
      <c r="C7" s="31" t="s">
        <v>46</v>
      </c>
      <c r="D7" s="31"/>
      <c r="E7" s="39" t="s">
        <v>9</v>
      </c>
      <c r="F7" s="39" t="s">
        <v>9</v>
      </c>
      <c r="G7" s="39" t="s">
        <v>6</v>
      </c>
      <c r="H7" s="31" t="s">
        <v>78</v>
      </c>
      <c r="I7" s="31" t="s">
        <v>79</v>
      </c>
      <c r="J7" s="31" t="s">
        <v>79</v>
      </c>
    </row>
    <row r="8" spans="2:10" ht="12.75">
      <c r="B8" s="31"/>
      <c r="C8" s="31" t="s">
        <v>2</v>
      </c>
      <c r="D8" s="31"/>
      <c r="E8" s="39" t="s">
        <v>8</v>
      </c>
      <c r="F8" s="31" t="s">
        <v>10</v>
      </c>
      <c r="G8" s="31" t="s">
        <v>41</v>
      </c>
      <c r="H8" s="32" t="s">
        <v>76</v>
      </c>
      <c r="I8" s="32" t="s">
        <v>80</v>
      </c>
      <c r="J8" s="31" t="s">
        <v>57</v>
      </c>
    </row>
    <row r="9" spans="2:10" ht="12.75">
      <c r="B9" s="31" t="s">
        <v>4</v>
      </c>
      <c r="C9" s="31" t="s">
        <v>3</v>
      </c>
      <c r="D9" s="31" t="s">
        <v>5</v>
      </c>
      <c r="E9" s="39"/>
      <c r="F9" s="31" t="s">
        <v>11</v>
      </c>
      <c r="G9" s="39"/>
      <c r="H9" s="31" t="s">
        <v>7</v>
      </c>
      <c r="I9" s="31" t="s">
        <v>47</v>
      </c>
      <c r="J9" s="31" t="s">
        <v>47</v>
      </c>
    </row>
    <row r="10" spans="2:10" ht="12.75">
      <c r="B10" s="21"/>
      <c r="C10" s="21"/>
      <c r="D10" s="21"/>
      <c r="E10" s="21"/>
      <c r="F10" s="21"/>
      <c r="G10" s="21"/>
      <c r="H10" s="21"/>
      <c r="I10" s="31"/>
      <c r="J10" s="21"/>
    </row>
    <row r="11" spans="2:10" ht="12.75">
      <c r="B11" s="21"/>
      <c r="C11" s="21"/>
      <c r="D11" s="21"/>
      <c r="E11" s="21"/>
      <c r="F11" s="21"/>
      <c r="G11" s="21"/>
      <c r="H11" s="21"/>
      <c r="I11" s="21"/>
      <c r="J11" s="21"/>
    </row>
    <row r="12" spans="2:10" ht="12.75"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2.75">
      <c r="A13" s="33">
        <v>1</v>
      </c>
      <c r="B13" s="28">
        <v>29</v>
      </c>
      <c r="C13" s="28">
        <v>13</v>
      </c>
      <c r="D13" s="28">
        <v>18</v>
      </c>
      <c r="E13" s="34">
        <f>AVERAGE(B13:D14)</f>
        <v>13</v>
      </c>
      <c r="F13" s="34">
        <v>0</v>
      </c>
      <c r="G13" s="40">
        <v>0</v>
      </c>
      <c r="H13" s="41">
        <v>0</v>
      </c>
      <c r="I13" s="40">
        <v>0</v>
      </c>
      <c r="J13" s="58">
        <f>I13*37</f>
        <v>0</v>
      </c>
    </row>
    <row r="14" spans="1:10" ht="12.75">
      <c r="A14" s="33">
        <v>2</v>
      </c>
      <c r="B14" s="28">
        <v>5</v>
      </c>
      <c r="C14" s="28">
        <v>6</v>
      </c>
      <c r="D14" s="28">
        <v>7</v>
      </c>
      <c r="E14" s="34"/>
      <c r="F14" s="34">
        <v>0</v>
      </c>
      <c r="G14" s="40">
        <v>0</v>
      </c>
      <c r="H14" s="41">
        <v>0</v>
      </c>
      <c r="I14" s="40">
        <v>0</v>
      </c>
      <c r="J14" s="58">
        <f aca="true" t="shared" si="0" ref="J14:J22">I14*37</f>
        <v>0</v>
      </c>
    </row>
    <row r="15" spans="1:10" ht="12.75">
      <c r="A15" s="20">
        <v>3</v>
      </c>
      <c r="B15" s="29">
        <v>9608</v>
      </c>
      <c r="C15" s="29">
        <v>8503</v>
      </c>
      <c r="D15" s="29">
        <v>10525</v>
      </c>
      <c r="E15" s="35">
        <f aca="true" t="shared" si="1" ref="E15:E22">AVERAGE(B15:D15)</f>
        <v>9545.333333333334</v>
      </c>
      <c r="F15" s="35">
        <f>E15-$E$13</f>
        <v>9532.333333333334</v>
      </c>
      <c r="G15" s="35">
        <f>F15/(Parameters!$B$9*Parameters!$B$20)</f>
        <v>14665.128205128205</v>
      </c>
      <c r="H15" s="42">
        <f>G15/(37000*60*Parameters!$B$27/1000)</f>
        <v>0.06605913605913606</v>
      </c>
      <c r="I15" s="42">
        <f>H15/EXP(-0.693*(Parameters!$D$25)/(Parameters!$B$8*24))</f>
        <v>0.06619150567033907</v>
      </c>
      <c r="J15" s="37">
        <f t="shared" si="0"/>
        <v>2.449085709802546</v>
      </c>
    </row>
    <row r="16" spans="1:10" ht="12.75">
      <c r="A16" s="20">
        <v>4</v>
      </c>
      <c r="B16" s="29">
        <v>47288</v>
      </c>
      <c r="C16" s="29">
        <v>44744</v>
      </c>
      <c r="D16" s="29">
        <v>40684</v>
      </c>
      <c r="E16" s="35">
        <f t="shared" si="1"/>
        <v>44238.666666666664</v>
      </c>
      <c r="F16" s="35">
        <f aca="true" t="shared" si="2" ref="F16:F22">E16-$E$13</f>
        <v>44225.666666666664</v>
      </c>
      <c r="G16" s="35">
        <f>F16/(Parameters!$B$9*Parameters!$B$20)</f>
        <v>68039.48717948717</v>
      </c>
      <c r="H16" s="42">
        <f>G16/(37000*60*Parameters!$B$27/1000)</f>
        <v>0.3064841764841765</v>
      </c>
      <c r="I16" s="42">
        <f>H16/EXP(-0.693*(Parameters!$D$25)/(Parameters!$B$8*24))</f>
        <v>0.30709831093553785</v>
      </c>
      <c r="J16" s="37">
        <f t="shared" si="0"/>
        <v>11.3626375046149</v>
      </c>
    </row>
    <row r="17" spans="1:10" ht="12.75">
      <c r="A17" s="20">
        <v>5</v>
      </c>
      <c r="B17" s="29">
        <v>19245</v>
      </c>
      <c r="C17" s="29">
        <v>19078</v>
      </c>
      <c r="D17" s="29">
        <v>18075</v>
      </c>
      <c r="E17" s="35">
        <f t="shared" si="1"/>
        <v>18799.333333333332</v>
      </c>
      <c r="F17" s="35">
        <f t="shared" si="2"/>
        <v>18786.333333333332</v>
      </c>
      <c r="G17" s="35">
        <f>F17/(Parameters!$B$9*Parameters!$B$20)</f>
        <v>28902.051282051278</v>
      </c>
      <c r="H17" s="42">
        <f>G17/(37000*60*Parameters!$B$27/1000)</f>
        <v>0.13018942018942017</v>
      </c>
      <c r="I17" s="42">
        <f>H17/EXP(-0.693*(Parameters!$D$25)/(Parameters!$B$8*24))</f>
        <v>0.13045029436915198</v>
      </c>
      <c r="J17" s="37">
        <f t="shared" si="0"/>
        <v>4.826660891658623</v>
      </c>
    </row>
    <row r="18" spans="1:10" ht="12.75">
      <c r="A18" s="20">
        <v>6</v>
      </c>
      <c r="B18" s="29">
        <v>45416</v>
      </c>
      <c r="C18" s="29">
        <v>41176</v>
      </c>
      <c r="D18" s="29">
        <v>36860</v>
      </c>
      <c r="E18" s="35">
        <f t="shared" si="1"/>
        <v>41150.666666666664</v>
      </c>
      <c r="F18" s="35">
        <f t="shared" si="2"/>
        <v>41137.666666666664</v>
      </c>
      <c r="G18" s="35">
        <f>F18/(Parameters!$B$9*Parameters!$B$20)</f>
        <v>63288.717948717946</v>
      </c>
      <c r="H18" s="42">
        <f>G18/(37000*60*Parameters!$B$27/1000)</f>
        <v>0.2850843150843151</v>
      </c>
      <c r="I18" s="42">
        <f>H18/EXP(-0.693*(Parameters!$D$25)/(Parameters!$B$8*24))</f>
        <v>0.28565556839156403</v>
      </c>
      <c r="J18" s="37">
        <f t="shared" si="0"/>
        <v>10.56925603048787</v>
      </c>
    </row>
    <row r="19" spans="1:10" ht="12.75">
      <c r="A19" s="20">
        <v>7</v>
      </c>
      <c r="B19" s="29">
        <v>105707</v>
      </c>
      <c r="C19" s="29">
        <v>99793</v>
      </c>
      <c r="D19" s="29">
        <v>102253</v>
      </c>
      <c r="E19" s="35">
        <f t="shared" si="1"/>
        <v>102584.33333333333</v>
      </c>
      <c r="F19" s="35">
        <f t="shared" si="2"/>
        <v>102571.33333333333</v>
      </c>
      <c r="G19" s="35">
        <f>F19/(Parameters!$B$9*Parameters!$B$20)</f>
        <v>157802.05128205128</v>
      </c>
      <c r="H19" s="42">
        <f>G19/(37000*60*Parameters!$B$27/1000)</f>
        <v>0.7108200508200508</v>
      </c>
      <c r="I19" s="42">
        <f>H19/EXP(-0.693*(Parameters!$D$25)/(Parameters!$B$8*24))</f>
        <v>0.7122443954205937</v>
      </c>
      <c r="J19" s="37">
        <f t="shared" si="0"/>
        <v>26.353042630561966</v>
      </c>
    </row>
    <row r="20" spans="1:10" ht="12.75">
      <c r="A20" s="20">
        <v>8</v>
      </c>
      <c r="B20" s="29">
        <v>99000</v>
      </c>
      <c r="C20" s="29">
        <v>74233</v>
      </c>
      <c r="D20" s="29">
        <v>73920</v>
      </c>
      <c r="E20" s="35">
        <f t="shared" si="1"/>
        <v>82384.33333333333</v>
      </c>
      <c r="F20" s="35">
        <f t="shared" si="2"/>
        <v>82371.33333333333</v>
      </c>
      <c r="G20" s="35">
        <f>F20/(Parameters!$B$9*Parameters!$B$20)</f>
        <v>126725.12820512819</v>
      </c>
      <c r="H20" s="42">
        <f>G20/(37000*60*Parameters!$B$27/1000)</f>
        <v>0.5708339108339108</v>
      </c>
      <c r="I20" s="42">
        <f>H20/EXP(-0.693*(Parameters!$D$25)/(Parameters!$B$8*24))</f>
        <v>0.5719777505409717</v>
      </c>
      <c r="J20" s="37">
        <f t="shared" si="0"/>
        <v>21.16317677001595</v>
      </c>
    </row>
    <row r="21" spans="1:10" ht="12.75">
      <c r="A21" s="20">
        <v>9</v>
      </c>
      <c r="B21" s="29">
        <v>51795</v>
      </c>
      <c r="C21" s="29">
        <v>64925</v>
      </c>
      <c r="D21" s="29">
        <v>54525</v>
      </c>
      <c r="E21" s="35">
        <f t="shared" si="1"/>
        <v>57081.666666666664</v>
      </c>
      <c r="F21" s="35">
        <f t="shared" si="2"/>
        <v>57068.666666666664</v>
      </c>
      <c r="G21" s="35">
        <f>F21/(Parameters!$B$9*Parameters!$B$20)</f>
        <v>87797.9487179487</v>
      </c>
      <c r="H21" s="42">
        <f>G21/(37000*60*Parameters!$B$27/1000)</f>
        <v>0.39548625548625543</v>
      </c>
      <c r="I21" s="42">
        <f>H21/EXP(-0.693*(Parameters!$D$25)/(Parameters!$B$8*24))</f>
        <v>0.3962787327270717</v>
      </c>
      <c r="J21" s="37">
        <f t="shared" si="0"/>
        <v>14.662313110901653</v>
      </c>
    </row>
    <row r="22" spans="1:10" ht="12.75">
      <c r="A22" s="20">
        <v>10</v>
      </c>
      <c r="B22" s="29">
        <v>126673</v>
      </c>
      <c r="C22" s="29">
        <v>109453</v>
      </c>
      <c r="D22" s="29">
        <v>96220</v>
      </c>
      <c r="E22" s="35">
        <f t="shared" si="1"/>
        <v>110782</v>
      </c>
      <c r="F22" s="35">
        <f t="shared" si="2"/>
        <v>110769</v>
      </c>
      <c r="G22" s="35">
        <f>F22/(Parameters!$B$9*Parameters!$B$20)</f>
        <v>170413.84615384616</v>
      </c>
      <c r="H22" s="42">
        <f>G22/(37000*60*Parameters!$B$27/1000)</f>
        <v>0.7676299376299376</v>
      </c>
      <c r="I22" s="42">
        <f>H22/EXP(-0.693*(Parameters!$D$25)/(Parameters!$B$8*24))</f>
        <v>0.7691681181520217</v>
      </c>
      <c r="J22" s="37">
        <f t="shared" si="0"/>
        <v>28.459220371624802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26">
      <selection activeCell="B36" sqref="B36"/>
    </sheetView>
  </sheetViews>
  <sheetFormatPr defaultColWidth="9.140625" defaultRowHeight="12.75"/>
  <cols>
    <col min="1" max="1" width="6.57421875" style="62" customWidth="1"/>
    <col min="2" max="2" width="8.57421875" style="0" customWidth="1"/>
    <col min="3" max="3" width="7.421875" style="0" customWidth="1"/>
    <col min="4" max="4" width="8.00390625" style="0" customWidth="1"/>
    <col min="5" max="5" width="7.8515625" style="0" customWidth="1"/>
    <col min="6" max="6" width="9.00390625" style="0" customWidth="1"/>
    <col min="7" max="8" width="8.140625" style="0" customWidth="1"/>
    <col min="9" max="9" width="10.8515625" style="0" customWidth="1"/>
    <col min="10" max="10" width="9.28125" style="0" customWidth="1"/>
  </cols>
  <sheetData>
    <row r="1" spans="2:6" ht="12.75">
      <c r="B1" s="20"/>
      <c r="C1" s="20"/>
      <c r="D1" s="20"/>
      <c r="E1" s="20"/>
      <c r="F1" s="20"/>
    </row>
    <row r="2" spans="2:6" ht="12.75">
      <c r="B2" s="20"/>
      <c r="C2" s="20"/>
      <c r="D2" s="20"/>
      <c r="E2" s="20"/>
      <c r="F2" s="20"/>
    </row>
    <row r="3" spans="1:6" ht="12.75">
      <c r="A3" s="62" t="s">
        <v>45</v>
      </c>
      <c r="B3" s="20"/>
      <c r="C3" s="20" t="str">
        <f>Parameters!$B$3</f>
        <v>Feb., 15, 2001</v>
      </c>
      <c r="D3" s="20"/>
      <c r="E3" s="20"/>
      <c r="F3" s="20"/>
    </row>
    <row r="4" spans="1:6" ht="12.75">
      <c r="A4" s="62" t="s">
        <v>12</v>
      </c>
      <c r="B4" s="20"/>
      <c r="C4" s="43" t="str">
        <f>Parameters!$B$1</f>
        <v>Feb., 15, 2001</v>
      </c>
      <c r="D4" s="20"/>
      <c r="E4" s="20"/>
      <c r="F4" s="20"/>
    </row>
    <row r="5" spans="2:6" ht="12.75">
      <c r="B5" s="20"/>
      <c r="C5" s="20"/>
      <c r="D5" s="20"/>
      <c r="E5" s="20"/>
      <c r="F5" s="20"/>
    </row>
    <row r="6" spans="2:6" ht="12.75">
      <c r="B6" s="20"/>
      <c r="C6" s="20"/>
      <c r="D6" s="20"/>
      <c r="E6" s="20"/>
      <c r="F6" s="20"/>
    </row>
    <row r="7" spans="1:8" ht="12.75">
      <c r="A7" s="62" t="s">
        <v>1</v>
      </c>
      <c r="B7" s="20"/>
      <c r="C7" s="20" t="s">
        <v>48</v>
      </c>
      <c r="D7" s="20"/>
      <c r="E7" s="20" t="s">
        <v>8</v>
      </c>
      <c r="F7" s="20" t="s">
        <v>0</v>
      </c>
      <c r="H7" s="20" t="s">
        <v>88</v>
      </c>
    </row>
    <row r="8" spans="2:10" ht="12.75">
      <c r="B8" s="31" t="s">
        <v>4</v>
      </c>
      <c r="C8" s="31" t="s">
        <v>3</v>
      </c>
      <c r="D8" s="31" t="s">
        <v>5</v>
      </c>
      <c r="E8" s="20"/>
      <c r="F8" s="20"/>
      <c r="G8" s="31" t="s">
        <v>85</v>
      </c>
      <c r="H8" s="31" t="s">
        <v>86</v>
      </c>
      <c r="I8" s="31" t="s">
        <v>5</v>
      </c>
      <c r="J8" s="31" t="s">
        <v>87</v>
      </c>
    </row>
    <row r="9" spans="2:6" ht="12.75">
      <c r="B9" s="20"/>
      <c r="C9" s="20"/>
      <c r="D9" s="20"/>
      <c r="E9" s="20"/>
      <c r="F9" s="20"/>
    </row>
    <row r="10" spans="2:6" ht="12.75">
      <c r="B10" s="20"/>
      <c r="C10" s="20"/>
      <c r="D10" s="20"/>
      <c r="E10" s="20"/>
      <c r="F10" s="20"/>
    </row>
    <row r="11" spans="2:6" ht="12.75">
      <c r="B11" s="20"/>
      <c r="C11" s="20"/>
      <c r="D11" s="20"/>
      <c r="E11" s="20"/>
      <c r="F11" s="20"/>
    </row>
    <row r="12" spans="2:6" ht="12.75">
      <c r="B12" s="20"/>
      <c r="C12" s="20"/>
      <c r="D12" s="20"/>
      <c r="E12" s="20"/>
      <c r="F12" s="20"/>
    </row>
    <row r="13" spans="1:10" ht="12.75">
      <c r="A13" s="63">
        <v>1</v>
      </c>
      <c r="B13" s="28">
        <v>3473</v>
      </c>
      <c r="C13" s="28">
        <v>3378</v>
      </c>
      <c r="D13" s="28">
        <v>3365</v>
      </c>
      <c r="E13" s="34">
        <f>IF(Parameters!$B$33="Yes",AVERAGE(G13:J13),AVERAGE(B13:D13))</f>
        <v>3405.3333333333335</v>
      </c>
      <c r="F13" s="34">
        <f>IF(Parameters!$B$33="Yes",E13*10000,(E13-Parameters!$B$31)*Parameters!$B$32*(100/Parameters!$B$29)*(500/Parameters!$B$30))</f>
        <v>1356533.3333333335</v>
      </c>
      <c r="G13" s="26"/>
      <c r="H13" s="26"/>
      <c r="I13" s="26"/>
      <c r="J13" s="26"/>
    </row>
    <row r="14" spans="1:10" ht="12.75">
      <c r="A14" s="63">
        <v>2</v>
      </c>
      <c r="B14" s="28">
        <v>3769</v>
      </c>
      <c r="C14" s="28">
        <v>3862</v>
      </c>
      <c r="D14" s="28">
        <v>3883</v>
      </c>
      <c r="E14" s="34">
        <f>IF(Parameters!$B$33="Yes",AVERAGE(G14:J14),AVERAGE(B14:D14))</f>
        <v>3838</v>
      </c>
      <c r="F14" s="34">
        <f>IF(Parameters!$B$33="Yes",E14*10000,(E14-Parameters!$B$31)*Parameters!$B$32*(100/Parameters!$B$29)*(500/Parameters!$B$30))</f>
        <v>1529600</v>
      </c>
      <c r="G14" s="26"/>
      <c r="H14" s="26"/>
      <c r="I14" s="26"/>
      <c r="J14" s="26"/>
    </row>
    <row r="15" spans="1:10" ht="12.75">
      <c r="A15" s="62">
        <v>3</v>
      </c>
      <c r="B15" s="29">
        <v>2594</v>
      </c>
      <c r="C15" s="29">
        <v>2682</v>
      </c>
      <c r="D15" s="29">
        <v>2596</v>
      </c>
      <c r="E15" s="35">
        <f>IF(Parameters!$B$33="Yes",AVERAGE(G15:J15),AVERAGE(B15:D15))</f>
        <v>2624</v>
      </c>
      <c r="F15" s="35">
        <f>IF(Parameters!$B$33="Yes",E15*10000,(E15-Parameters!$B$31)*Parameters!$B$32*(100/Parameters!$B$29)*(500/Parameters!$B$30))</f>
        <v>1044000</v>
      </c>
      <c r="G15" s="26"/>
      <c r="H15" s="26"/>
      <c r="I15" s="26"/>
      <c r="J15" s="26"/>
    </row>
    <row r="16" spans="1:10" ht="12.75">
      <c r="A16" s="62">
        <v>4</v>
      </c>
      <c r="B16" s="29">
        <v>2616</v>
      </c>
      <c r="C16" s="29">
        <v>2535</v>
      </c>
      <c r="D16" s="29">
        <v>2493</v>
      </c>
      <c r="E16" s="35">
        <f>IF(Parameters!$B$33="Yes",AVERAGE(G16:J16),AVERAGE(B16:D16))</f>
        <v>2548</v>
      </c>
      <c r="F16" s="35">
        <f>IF(Parameters!$B$33="Yes",E16*10000,(E16-Parameters!$B$31)*Parameters!$B$32*(100/Parameters!$B$29)*(500/Parameters!$B$30))</f>
        <v>1013600</v>
      </c>
      <c r="G16" s="26"/>
      <c r="H16" s="26"/>
      <c r="I16" s="26"/>
      <c r="J16" s="26"/>
    </row>
    <row r="17" spans="1:10" ht="12.75">
      <c r="A17" s="62">
        <v>5</v>
      </c>
      <c r="B17" s="29">
        <v>3196</v>
      </c>
      <c r="C17" s="29">
        <v>3153</v>
      </c>
      <c r="D17" s="29">
        <v>3156</v>
      </c>
      <c r="E17" s="35">
        <f>IF(Parameters!$B$33="Yes",AVERAGE(G17:J17),AVERAGE(B17:D17))</f>
        <v>3168.3333333333335</v>
      </c>
      <c r="F17" s="35">
        <f>IF(Parameters!$B$33="Yes",E17*10000,(E17-Parameters!$B$31)*Parameters!$B$32*(100/Parameters!$B$29)*(500/Parameters!$B$30))</f>
        <v>1261733.3333333335</v>
      </c>
      <c r="G17" s="26"/>
      <c r="H17" s="26"/>
      <c r="I17" s="26"/>
      <c r="J17" s="26"/>
    </row>
    <row r="18" spans="1:10" ht="12.75">
      <c r="A18" s="62">
        <v>6</v>
      </c>
      <c r="B18" s="29">
        <v>2979</v>
      </c>
      <c r="C18" s="29">
        <v>3024</v>
      </c>
      <c r="D18" s="29">
        <v>3078</v>
      </c>
      <c r="E18" s="35">
        <f>IF(Parameters!$B$33="Yes",AVERAGE(G18:J18),AVERAGE(B18:D18))</f>
        <v>3027</v>
      </c>
      <c r="F18" s="35">
        <f>IF(Parameters!$B$33="Yes",E18*10000,(E18-Parameters!$B$31)*Parameters!$B$32*(100/Parameters!$B$29)*(500/Parameters!$B$30))</f>
        <v>1205200</v>
      </c>
      <c r="G18" s="26"/>
      <c r="H18" s="26"/>
      <c r="I18" s="26"/>
      <c r="J18" s="26"/>
    </row>
    <row r="19" spans="1:10" ht="12.75">
      <c r="A19" s="62">
        <v>7</v>
      </c>
      <c r="B19" s="29">
        <v>2578</v>
      </c>
      <c r="C19" s="29">
        <v>2630</v>
      </c>
      <c r="D19" s="29">
        <v>2637</v>
      </c>
      <c r="E19" s="35">
        <f>IF(Parameters!$B$33="Yes",AVERAGE(G19:J19),AVERAGE(B19:D19))</f>
        <v>2615</v>
      </c>
      <c r="F19" s="35">
        <f>IF(Parameters!$B$33="Yes",E19*10000,(E19-Parameters!$B$31)*Parameters!$B$32*(100/Parameters!$B$29)*(500/Parameters!$B$30))</f>
        <v>1040400</v>
      </c>
      <c r="G19" s="26"/>
      <c r="H19" s="26"/>
      <c r="I19" s="26"/>
      <c r="J19" s="26"/>
    </row>
    <row r="20" spans="1:10" ht="12.75">
      <c r="A20" s="62">
        <v>8</v>
      </c>
      <c r="B20" s="29">
        <v>2809</v>
      </c>
      <c r="C20" s="29">
        <v>2778</v>
      </c>
      <c r="D20" s="29">
        <v>2828</v>
      </c>
      <c r="E20" s="35">
        <f>IF(Parameters!$B$33="Yes",AVERAGE(G20:J20),AVERAGE(B20:D20))</f>
        <v>2805</v>
      </c>
      <c r="F20" s="35">
        <f>IF(Parameters!$B$33="Yes",E20*10000,(E20-Parameters!$B$31)*Parameters!$B$32*(100/Parameters!$B$29)*(500/Parameters!$B$30))</f>
        <v>1116400</v>
      </c>
      <c r="G20" s="26"/>
      <c r="H20" s="26"/>
      <c r="I20" s="26"/>
      <c r="J20" s="26"/>
    </row>
    <row r="21" spans="1:10" ht="12.75">
      <c r="A21" s="62">
        <v>9</v>
      </c>
      <c r="B21" s="29">
        <v>2502</v>
      </c>
      <c r="C21" s="29">
        <v>2654</v>
      </c>
      <c r="D21" s="29">
        <v>2549</v>
      </c>
      <c r="E21" s="35">
        <f>IF(Parameters!$B$33="Yes",AVERAGE(G21:J21),AVERAGE(B21:D21))</f>
        <v>2568.3333333333335</v>
      </c>
      <c r="F21" s="35">
        <f>IF(Parameters!$B$33="Yes",E21*10000,(E21-Parameters!$B$31)*Parameters!$B$32*(100/Parameters!$B$29)*(500/Parameters!$B$30))</f>
        <v>1021733.3333333334</v>
      </c>
      <c r="G21" s="26"/>
      <c r="H21" s="26"/>
      <c r="I21" s="26"/>
      <c r="J21" s="26"/>
    </row>
    <row r="22" spans="1:10" ht="12.75">
      <c r="A22" s="62">
        <v>10</v>
      </c>
      <c r="B22" s="29">
        <v>3005</v>
      </c>
      <c r="C22" s="29">
        <v>2944</v>
      </c>
      <c r="D22" s="29">
        <v>2760</v>
      </c>
      <c r="E22" s="35">
        <f>IF(Parameters!$B$33="Yes",AVERAGE(G22:J22),AVERAGE(B22:D22))</f>
        <v>2903</v>
      </c>
      <c r="F22" s="35">
        <f>IF(Parameters!$B$33="Yes",E22*10000,(E22-Parameters!$B$31)*Parameters!$B$32*(100/Parameters!$B$29)*(500/Parameters!$B$30))</f>
        <v>1155600</v>
      </c>
      <c r="G22" s="26"/>
      <c r="H22" s="26"/>
      <c r="I22" s="26"/>
      <c r="J22" s="26"/>
    </row>
    <row r="29" spans="1:10" ht="12.75">
      <c r="A29" s="62" t="s">
        <v>1</v>
      </c>
      <c r="B29" s="31" t="s">
        <v>63</v>
      </c>
      <c r="C29" s="31" t="s">
        <v>65</v>
      </c>
      <c r="D29" s="20"/>
      <c r="E29" s="20" t="s">
        <v>50</v>
      </c>
      <c r="F29" s="20"/>
      <c r="G29" s="31" t="s">
        <v>8</v>
      </c>
      <c r="H29" s="31" t="s">
        <v>52</v>
      </c>
      <c r="I29" s="31" t="s">
        <v>14</v>
      </c>
      <c r="J29" s="31" t="s">
        <v>14</v>
      </c>
    </row>
    <row r="30" spans="2:10" ht="12.75">
      <c r="B30" s="31" t="s">
        <v>64</v>
      </c>
      <c r="C30" s="31" t="s">
        <v>64</v>
      </c>
      <c r="D30" s="31" t="s">
        <v>4</v>
      </c>
      <c r="E30" s="31" t="s">
        <v>3</v>
      </c>
      <c r="F30" s="31" t="s">
        <v>5</v>
      </c>
      <c r="G30" s="31"/>
      <c r="H30" s="31"/>
      <c r="I30" s="31" t="s">
        <v>67</v>
      </c>
      <c r="J30" s="31" t="s">
        <v>68</v>
      </c>
    </row>
    <row r="31" spans="2:10" ht="12.75">
      <c r="B31" s="31" t="s">
        <v>51</v>
      </c>
      <c r="C31" s="31" t="s">
        <v>51</v>
      </c>
      <c r="D31" s="20"/>
      <c r="E31" s="20"/>
      <c r="F31" s="20"/>
      <c r="G31" s="20"/>
      <c r="H31" s="20"/>
      <c r="I31" s="20"/>
      <c r="J31" s="20"/>
    </row>
    <row r="32" spans="4:8" ht="12.75">
      <c r="D32" s="10"/>
      <c r="E32" s="10"/>
      <c r="F32" s="10"/>
      <c r="G32" s="10"/>
      <c r="H32" s="10"/>
    </row>
    <row r="33" spans="4:8" ht="12.75">
      <c r="D33" s="10"/>
      <c r="E33" s="10"/>
      <c r="F33" s="10"/>
      <c r="G33" s="10"/>
      <c r="H33" s="10"/>
    </row>
    <row r="34" spans="4:8" ht="12.75">
      <c r="D34" s="10"/>
      <c r="E34" s="10"/>
      <c r="F34" s="10"/>
      <c r="G34" s="10"/>
      <c r="H34" s="10"/>
    </row>
    <row r="35" spans="1:10" ht="12.75">
      <c r="A35" s="63">
        <v>1</v>
      </c>
      <c r="B35" s="26">
        <v>200</v>
      </c>
      <c r="C35" s="34">
        <f>F13/(10000*200/B35)</f>
        <v>135.65333333333334</v>
      </c>
      <c r="D35" s="28">
        <v>49</v>
      </c>
      <c r="E35" s="28">
        <v>44</v>
      </c>
      <c r="F35" s="28">
        <v>26</v>
      </c>
      <c r="G35" s="34">
        <f>AVERAGE(D35:F36)</f>
        <v>38.166666666666664</v>
      </c>
      <c r="H35" s="44">
        <f>G35/AVERAGE($C$35,$C$36)*100</f>
        <v>26.448304536634943</v>
      </c>
      <c r="I35" s="59">
        <f>G35*200/B35/$G$35</f>
        <v>1</v>
      </c>
      <c r="J35" s="58">
        <f>(G35/AVERAGE(C35:C36))/($G$35/AVERAGE($C$35,$C$36))</f>
        <v>1</v>
      </c>
    </row>
    <row r="36" spans="1:10" ht="12.75">
      <c r="A36" s="63">
        <v>2</v>
      </c>
      <c r="B36" s="26">
        <v>200</v>
      </c>
      <c r="C36" s="34">
        <f aca="true" t="shared" si="0" ref="C36:C44">F14/(10000*200/B36)</f>
        <v>152.96</v>
      </c>
      <c r="D36" s="28">
        <v>32</v>
      </c>
      <c r="E36" s="28">
        <v>38</v>
      </c>
      <c r="F36" s="28">
        <v>40</v>
      </c>
      <c r="G36" s="34"/>
      <c r="H36" s="44"/>
      <c r="I36" s="45"/>
      <c r="J36" s="37"/>
    </row>
    <row r="37" spans="1:10" ht="12.75">
      <c r="A37" s="62">
        <v>3</v>
      </c>
      <c r="B37" s="26">
        <v>200</v>
      </c>
      <c r="C37" s="35">
        <f t="shared" si="0"/>
        <v>104.4</v>
      </c>
      <c r="D37" s="29">
        <v>22</v>
      </c>
      <c r="E37" s="29">
        <v>11</v>
      </c>
      <c r="F37" s="29">
        <v>21</v>
      </c>
      <c r="G37" s="35">
        <f aca="true" t="shared" si="1" ref="G37:G44">AVERAGE(D37:F37)</f>
        <v>18</v>
      </c>
      <c r="H37" s="46">
        <f aca="true" t="shared" si="2" ref="H37:H44">G37/C37*100</f>
        <v>17.241379310344826</v>
      </c>
      <c r="I37" s="37">
        <f aca="true" t="shared" si="3" ref="I37:I44">G37*200/B37/$G$35</f>
        <v>0.4716157205240175</v>
      </c>
      <c r="J37" s="37">
        <f>(G37/C37)/($G$35/AVERAGE($C$35,$C$36))</f>
        <v>0.6518897756361993</v>
      </c>
    </row>
    <row r="38" spans="1:10" ht="12.75">
      <c r="A38" s="62">
        <v>4</v>
      </c>
      <c r="B38" s="26">
        <v>200</v>
      </c>
      <c r="C38" s="35">
        <f t="shared" si="0"/>
        <v>101.36</v>
      </c>
      <c r="D38" s="29">
        <v>24</v>
      </c>
      <c r="E38" s="29">
        <v>23</v>
      </c>
      <c r="F38" s="29">
        <v>24</v>
      </c>
      <c r="G38" s="35">
        <f t="shared" si="1"/>
        <v>23.666666666666668</v>
      </c>
      <c r="H38" s="46">
        <f t="shared" si="2"/>
        <v>23.34911865298606</v>
      </c>
      <c r="I38" s="37">
        <f t="shared" si="3"/>
        <v>0.6200873362445416</v>
      </c>
      <c r="J38" s="37">
        <f aca="true" t="shared" si="4" ref="J38:J44">(G38/C38)/($G$35/AVERAGE($C$35,$C$36))</f>
        <v>0.8828209997598887</v>
      </c>
    </row>
    <row r="39" spans="1:10" ht="12.75">
      <c r="A39" s="62">
        <v>5</v>
      </c>
      <c r="B39" s="26">
        <v>200</v>
      </c>
      <c r="C39" s="35">
        <f t="shared" si="0"/>
        <v>126.17333333333335</v>
      </c>
      <c r="D39" s="29">
        <v>14</v>
      </c>
      <c r="E39" s="29">
        <v>25</v>
      </c>
      <c r="F39" s="29">
        <v>25</v>
      </c>
      <c r="G39" s="35">
        <f t="shared" si="1"/>
        <v>21.333333333333332</v>
      </c>
      <c r="H39" s="46">
        <f t="shared" si="2"/>
        <v>16.907957307407795</v>
      </c>
      <c r="I39" s="37">
        <f t="shared" si="3"/>
        <v>0.558951965065502</v>
      </c>
      <c r="J39" s="37">
        <f t="shared" si="4"/>
        <v>0.6392832207443654</v>
      </c>
    </row>
    <row r="40" spans="1:10" ht="12.75">
      <c r="A40" s="62">
        <v>6</v>
      </c>
      <c r="B40" s="26">
        <v>200</v>
      </c>
      <c r="C40" s="35">
        <f t="shared" si="0"/>
        <v>120.52</v>
      </c>
      <c r="D40" s="29">
        <v>27</v>
      </c>
      <c r="E40" s="29">
        <v>24</v>
      </c>
      <c r="F40" s="29"/>
      <c r="G40" s="35">
        <f t="shared" si="1"/>
        <v>25.5</v>
      </c>
      <c r="H40" s="46">
        <f t="shared" si="2"/>
        <v>21.1583139727846</v>
      </c>
      <c r="I40" s="37">
        <f t="shared" si="3"/>
        <v>0.6681222707423581</v>
      </c>
      <c r="J40" s="37">
        <f t="shared" si="4"/>
        <v>0.7999875358164114</v>
      </c>
    </row>
    <row r="41" spans="1:10" ht="12.75">
      <c r="A41" s="62">
        <v>7</v>
      </c>
      <c r="B41" s="26">
        <v>200</v>
      </c>
      <c r="C41" s="35">
        <f t="shared" si="0"/>
        <v>104.04</v>
      </c>
      <c r="D41" s="29">
        <v>15</v>
      </c>
      <c r="E41" s="29">
        <v>15</v>
      </c>
      <c r="F41" s="29"/>
      <c r="G41" s="35">
        <f t="shared" si="1"/>
        <v>15</v>
      </c>
      <c r="H41" s="46">
        <f t="shared" si="2"/>
        <v>14.417531718569778</v>
      </c>
      <c r="I41" s="37">
        <f t="shared" si="3"/>
        <v>0.39301310043668125</v>
      </c>
      <c r="J41" s="37">
        <f t="shared" si="4"/>
        <v>0.545121208000282</v>
      </c>
    </row>
    <row r="42" spans="1:10" ht="12.75">
      <c r="A42" s="62">
        <v>8</v>
      </c>
      <c r="B42" s="26">
        <v>200</v>
      </c>
      <c r="C42" s="35">
        <f t="shared" si="0"/>
        <v>111.64</v>
      </c>
      <c r="D42" s="29">
        <v>30</v>
      </c>
      <c r="E42" s="29">
        <v>28</v>
      </c>
      <c r="F42" s="29">
        <v>21</v>
      </c>
      <c r="G42" s="35">
        <f t="shared" si="1"/>
        <v>26.333333333333332</v>
      </c>
      <c r="H42" s="46">
        <f t="shared" si="2"/>
        <v>23.58772244117998</v>
      </c>
      <c r="I42" s="37">
        <f t="shared" si="3"/>
        <v>0.6899563318777292</v>
      </c>
      <c r="J42" s="37">
        <f t="shared" si="4"/>
        <v>0.8918425152170864</v>
      </c>
    </row>
    <row r="43" spans="1:10" ht="12.75">
      <c r="A43" s="62">
        <v>9</v>
      </c>
      <c r="B43" s="26">
        <v>200</v>
      </c>
      <c r="C43" s="35">
        <f t="shared" si="0"/>
        <v>102.17333333333333</v>
      </c>
      <c r="D43" s="29">
        <v>36</v>
      </c>
      <c r="E43" s="29">
        <v>37</v>
      </c>
      <c r="F43" s="29"/>
      <c r="G43" s="35">
        <f t="shared" si="1"/>
        <v>36.5</v>
      </c>
      <c r="H43" s="46">
        <f t="shared" si="2"/>
        <v>35.723606942450736</v>
      </c>
      <c r="I43" s="37">
        <f t="shared" si="3"/>
        <v>0.9563318777292577</v>
      </c>
      <c r="J43" s="37">
        <f t="shared" si="4"/>
        <v>1.3506955386485393</v>
      </c>
    </row>
    <row r="44" spans="1:10" ht="12.75">
      <c r="A44" s="62">
        <v>10</v>
      </c>
      <c r="B44" s="26">
        <v>200</v>
      </c>
      <c r="C44" s="35">
        <f t="shared" si="0"/>
        <v>115.56</v>
      </c>
      <c r="D44" s="29">
        <v>20</v>
      </c>
      <c r="E44" s="29">
        <v>15</v>
      </c>
      <c r="F44" s="29">
        <v>18</v>
      </c>
      <c r="G44" s="35">
        <f t="shared" si="1"/>
        <v>17.666666666666668</v>
      </c>
      <c r="H44" s="46">
        <f t="shared" si="2"/>
        <v>15.287873543325258</v>
      </c>
      <c r="I44" s="37">
        <f t="shared" si="3"/>
        <v>0.4628820960698691</v>
      </c>
      <c r="J44" s="37">
        <f t="shared" si="4"/>
        <v>0.5780284903385478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portrait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3">
      <selection activeCell="B16" sqref="B16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 t="str">
        <f>Parameters!$B$1</f>
        <v>Feb., 15, 2001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58">
        <f>CoulterSurvival!I35</f>
        <v>1</v>
      </c>
      <c r="E13" s="58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58"/>
      <c r="E14" s="58"/>
    </row>
    <row r="15" spans="1:5" ht="12.75">
      <c r="A15" s="20">
        <v>3</v>
      </c>
      <c r="B15" s="46">
        <f>MediumActivity!J15</f>
        <v>219.8062346372737</v>
      </c>
      <c r="C15" s="46">
        <f>CellSuspension!J15/(CoulterSurvival!F15*Parameters!$B$14)*1000000</f>
        <v>4.691735076250088</v>
      </c>
      <c r="D15" s="37">
        <f>CoulterSurvival!I37</f>
        <v>0.4716157205240175</v>
      </c>
      <c r="E15" s="37">
        <f>CoulterSurvival!J37</f>
        <v>0.6518897756361993</v>
      </c>
    </row>
    <row r="16" spans="1:5" ht="12.75">
      <c r="A16" s="20">
        <v>4</v>
      </c>
      <c r="B16" s="46" t="e">
        <f>MediumActivity!J16</f>
        <v>#DIV/0!</v>
      </c>
      <c r="C16" s="46">
        <f>CellSuspension!J16/(CoulterSurvival!F16*Parameters!$B$14)*1000000</f>
        <v>22.420358138545584</v>
      </c>
      <c r="D16" s="37">
        <f>CoulterSurvival!I38</f>
        <v>0.6200873362445416</v>
      </c>
      <c r="E16" s="37">
        <f>CoulterSurvival!J38</f>
        <v>0.8828209997598887</v>
      </c>
    </row>
    <row r="17" spans="1:5" ht="12.75">
      <c r="A17" s="20">
        <v>5</v>
      </c>
      <c r="B17" s="46">
        <f>MediumActivity!J17</f>
        <v>397.33533096412816</v>
      </c>
      <c r="C17" s="46">
        <f>CellSuspension!J17/(CoulterSurvival!F17*Parameters!$B$14)*1000000</f>
        <v>7.650841527515516</v>
      </c>
      <c r="D17" s="37">
        <f>CoulterSurvival!I39</f>
        <v>0.558951965065502</v>
      </c>
      <c r="E17" s="37">
        <f>CoulterSurvival!J39</f>
        <v>0.6392832207443654</v>
      </c>
    </row>
    <row r="18" spans="1:5" ht="12.75">
      <c r="A18" s="20">
        <v>6</v>
      </c>
      <c r="B18" s="46">
        <f>MediumActivity!J18</f>
        <v>570.3379964282312</v>
      </c>
      <c r="C18" s="46">
        <f>CellSuspension!J18/(CoulterSurvival!F18*Parameters!$B$14)*1000000</f>
        <v>17.53942255308309</v>
      </c>
      <c r="D18" s="37">
        <f>CoulterSurvival!I40</f>
        <v>0.6681222707423581</v>
      </c>
      <c r="E18" s="37">
        <f>CoulterSurvival!J40</f>
        <v>0.7999875358164114</v>
      </c>
    </row>
    <row r="19" spans="1:5" ht="12.75">
      <c r="A19" s="20">
        <v>7</v>
      </c>
      <c r="B19" s="46">
        <f>MediumActivity!J19</f>
        <v>920.2271626167638</v>
      </c>
      <c r="C19" s="46">
        <f>CellSuspension!J19/(CoulterSurvival!F19*Parameters!$B$14)*1000000</f>
        <v>50.65944373425984</v>
      </c>
      <c r="D19" s="37">
        <f>CoulterSurvival!I41</f>
        <v>0.39301310043668125</v>
      </c>
      <c r="E19" s="37">
        <f>CoulterSurvival!J41</f>
        <v>0.545121208000282</v>
      </c>
    </row>
    <row r="20" spans="1:5" ht="12.75">
      <c r="A20" s="20">
        <v>8</v>
      </c>
      <c r="B20" s="46">
        <f>MediumActivity!J20</f>
        <v>532.4882304847652</v>
      </c>
      <c r="C20" s="46">
        <f>CellSuspension!J20/(CoulterSurvival!F20*Parameters!$B$14)*1000000</f>
        <v>37.913251110741584</v>
      </c>
      <c r="D20" s="37">
        <f>CoulterSurvival!I42</f>
        <v>0.6899563318777292</v>
      </c>
      <c r="E20" s="37">
        <f>CoulterSurvival!J42</f>
        <v>0.8918425152170864</v>
      </c>
    </row>
    <row r="21" spans="1:5" ht="12.75">
      <c r="A21" s="20">
        <v>9</v>
      </c>
      <c r="B21" s="46" t="e">
        <f>MediumActivity!J21</f>
        <v>#DIV/0!</v>
      </c>
      <c r="C21" s="46">
        <f>CellSuspension!J21/(CoulterSurvival!F21*Parameters!$B$14)*1000000</f>
        <v>28.700860846081795</v>
      </c>
      <c r="D21" s="37">
        <f>CoulterSurvival!I43</f>
        <v>0.9563318777292577</v>
      </c>
      <c r="E21" s="37">
        <f>CoulterSurvival!J43</f>
        <v>1.3506955386485393</v>
      </c>
    </row>
    <row r="22" spans="1:5" ht="12.75">
      <c r="A22" s="20">
        <v>10</v>
      </c>
      <c r="B22" s="46">
        <f>MediumActivity!J22</f>
        <v>1552.5075498051078</v>
      </c>
      <c r="C22" s="46">
        <f>CellSuspension!J22/(CoulterSurvival!F22*Parameters!$B$14)*1000000</f>
        <v>49.25444854902181</v>
      </c>
      <c r="D22" s="37">
        <f>CoulterSurvival!I44</f>
        <v>0.4628820960698691</v>
      </c>
      <c r="E22" s="37">
        <f>CoulterSurvival!J44</f>
        <v>0.5780284903385478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M22" sqref="M22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  <col min="5" max="5" width="10.140625" style="0" bestFit="1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 t="str">
        <f>Parameters!$B$1</f>
        <v>Feb., 15, 2001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58">
        <f>CoulterSurvival!I35</f>
        <v>1</v>
      </c>
      <c r="E13" s="58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58"/>
      <c r="E14" s="58"/>
    </row>
    <row r="15" spans="1:5" ht="12.75">
      <c r="A15" s="20">
        <v>3</v>
      </c>
      <c r="B15" s="46">
        <f>MediumActivity!J15</f>
        <v>219.8062346372737</v>
      </c>
      <c r="C15" s="46">
        <f>CellSuspension!J15/(CoulterSurvival!F15*Parameters!$B$14)*1000000</f>
        <v>4.691735076250088</v>
      </c>
      <c r="D15" s="37">
        <f>CoulterSurvival!I37</f>
        <v>0.4716157205240175</v>
      </c>
      <c r="E15" s="37">
        <f>CoulterSurvival!J37</f>
        <v>0.6518897756361993</v>
      </c>
    </row>
    <row r="16" spans="1:5" ht="12.75">
      <c r="A16" s="20">
        <v>4</v>
      </c>
      <c r="B16" s="46" t="e">
        <f>MediumActivity!J16</f>
        <v>#DIV/0!</v>
      </c>
      <c r="C16" s="46">
        <f>CellSuspension!J16/(CoulterSurvival!F16*Parameters!$B$14)*1000000</f>
        <v>22.420358138545584</v>
      </c>
      <c r="D16" s="37">
        <f>CoulterSurvival!I38</f>
        <v>0.6200873362445416</v>
      </c>
      <c r="E16" s="37">
        <f>CoulterSurvival!J38</f>
        <v>0.8828209997598887</v>
      </c>
    </row>
    <row r="17" spans="1:5" ht="12.75">
      <c r="A17" s="20">
        <v>5</v>
      </c>
      <c r="B17" s="46">
        <f>MediumActivity!J17</f>
        <v>397.33533096412816</v>
      </c>
      <c r="C17" s="46">
        <f>CellSuspension!J17/(CoulterSurvival!F17*Parameters!$B$14)*1000000</f>
        <v>7.650841527515516</v>
      </c>
      <c r="D17" s="37">
        <f>CoulterSurvival!I39</f>
        <v>0.558951965065502</v>
      </c>
      <c r="E17" s="37">
        <f>CoulterSurvival!J39</f>
        <v>0.6392832207443654</v>
      </c>
    </row>
    <row r="18" spans="1:5" ht="12.75">
      <c r="A18" s="20">
        <v>6</v>
      </c>
      <c r="B18" s="46">
        <f>MediumActivity!J18</f>
        <v>570.3379964282312</v>
      </c>
      <c r="C18" s="46">
        <f>CellSuspension!J18/(CoulterSurvival!F18*Parameters!$B$14)*1000000</f>
        <v>17.53942255308309</v>
      </c>
      <c r="D18" s="37">
        <f>CoulterSurvival!I40</f>
        <v>0.6681222707423581</v>
      </c>
      <c r="E18" s="37">
        <f>CoulterSurvival!J40</f>
        <v>0.7999875358164114</v>
      </c>
    </row>
    <row r="19" spans="1:5" ht="12.75">
      <c r="A19" s="20">
        <v>7</v>
      </c>
      <c r="B19" s="46">
        <f>MediumActivity!J19</f>
        <v>920.2271626167638</v>
      </c>
      <c r="C19" s="46">
        <f>CellSuspension!J19/(CoulterSurvival!F19*Parameters!$B$14)*1000000</f>
        <v>50.65944373425984</v>
      </c>
      <c r="D19" s="37">
        <f>CoulterSurvival!I41</f>
        <v>0.39301310043668125</v>
      </c>
      <c r="E19" s="37">
        <f>CoulterSurvival!J41</f>
        <v>0.545121208000282</v>
      </c>
    </row>
    <row r="20" spans="1:5" ht="12.75">
      <c r="A20" s="20">
        <v>8</v>
      </c>
      <c r="B20" s="46">
        <f>MediumActivity!J20</f>
        <v>532.4882304847652</v>
      </c>
      <c r="C20" s="46">
        <f>CellSuspension!J20/(CoulterSurvival!F20*Parameters!$B$14)*1000000</f>
        <v>37.913251110741584</v>
      </c>
      <c r="D20" s="37">
        <f>CoulterSurvival!I42</f>
        <v>0.6899563318777292</v>
      </c>
      <c r="E20" s="37">
        <f>CoulterSurvival!J42</f>
        <v>0.8918425152170864</v>
      </c>
    </row>
    <row r="21" spans="1:5" ht="12.75">
      <c r="A21" s="20">
        <v>9</v>
      </c>
      <c r="B21" s="46" t="e">
        <f>MediumActivity!J21</f>
        <v>#DIV/0!</v>
      </c>
      <c r="C21" s="46">
        <f>CellSuspension!J21/(CoulterSurvival!F21*Parameters!$B$14)*1000000</f>
        <v>28.700860846081795</v>
      </c>
      <c r="D21" s="37">
        <f>CoulterSurvival!I43</f>
        <v>0.9563318777292577</v>
      </c>
      <c r="E21" s="37">
        <f>CoulterSurvival!J43</f>
        <v>1.3506955386485393</v>
      </c>
    </row>
    <row r="22" spans="1:5" ht="12.75">
      <c r="A22" s="20">
        <v>10</v>
      </c>
      <c r="B22" s="46">
        <f>MediumActivity!J22</f>
        <v>1552.5075498051078</v>
      </c>
      <c r="C22" s="46">
        <f>CellSuspension!J22/(CoulterSurvival!F22*Parameters!$B$14)*1000000</f>
        <v>49.25444854902181</v>
      </c>
      <c r="D22" s="37">
        <f>CoulterSurvival!I44</f>
        <v>0.4628820960698691</v>
      </c>
      <c r="E22" s="37">
        <f>CoulterSurvival!J44</f>
        <v>0.5780284903385478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Roger W. Howell</Manager>
  <Company>UMDNJ - New Jersey Medical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Cluster 10 Tube Experiment</dc:title>
  <dc:subject/>
  <dc:creator>Roger W. Howell</dc:creator>
  <cp:keywords/>
  <dc:description/>
  <cp:lastModifiedBy>Roger W. Howell</cp:lastModifiedBy>
  <cp:lastPrinted>2001-03-21T21:20:24Z</cp:lastPrinted>
  <dcterms:created xsi:type="dcterms:W3CDTF">2000-10-11T19:44:58Z</dcterms:created>
  <dcterms:modified xsi:type="dcterms:W3CDTF">2001-03-21T21:20:29Z</dcterms:modified>
  <cp:category>Data Analysis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10 Tube">
    <vt:lpwstr>Version 2.1</vt:lpwstr>
  </property>
</Properties>
</file>