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1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<sst xmlns="http://schemas.openxmlformats.org/spreadsheetml/2006/main" count="163" uniqueCount="106">
  <si>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</si>
  <si>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</si>
  <si>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</si>
  <si>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</si>
  <si>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</si>
  <si>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</si>
  <si>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</si>
  <si>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</si>
  <si>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</si>
  <si>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</si>
  <si>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</si>
  <si>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</si>
  <si>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</si>
  <si>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</si>
  <si>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</si>
  <si>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</si>
  <si>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</si>
  <si>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</si>
  <si>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</si>
  <si>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</si>
  <si>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</si>
  <si>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</si>
  <si>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</si>
  <si>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</si>
  <si>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</si>
  <si>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</si>
  <si>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</si>
  <si>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</si>
  <si>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</si>
  <si>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</si>
  <si>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</si>
  <si>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</si>
  <si>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</si>
  <si>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</si>
  <si>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</si>
  <si>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</si>
  <si>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</si>
  <si>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</si>
  <si>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</si>
  <si>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</si>
  <si>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</si>
  <si>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</si>
  <si>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</si>
  <si>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</si>
  <si>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</si>
  <si>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</si>
  <si>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</si>
  <si>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</si>
  <si>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</si>
  <si>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</si>
  <si>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</si>
  <si>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</si>
  <si>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</si>
  <si>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</si>
  <si>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</si>
  <si>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</si>
  <si>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</si>
  <si>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</si>
  <si>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</si>
  <si>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</si>
  <si>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</si>
  <si>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</si>
  <si>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</si>
  <si>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</si>
  <si>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</si>
  <si>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</si>
  <si>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</si>
  <si>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</si>
  <si>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</si>
  <si>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</si>
  <si>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</si>
  <si>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</si>
  <si>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</si>
  <si>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</si>
  <si>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</si>
  <si>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</si>
  <si>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</si>
  <si>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</si>
  <si>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</si>
  <si>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</si>
  <si>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</si>
  <si>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</si>
  <si>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</si>
  <si>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</si>
  <si>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</si>
  <si>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</si>
  <si>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</si>
  <si>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</si>
  <si>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</si>
  <si>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</si>
  <si>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AL-N</t>
  </si>
  <si>
    <t>H-3</t>
  </si>
  <si>
    <t>3HTdR</t>
  </si>
  <si>
    <t>02/19/2001 / 20:00</t>
  </si>
  <si>
    <t>M.Lenarczyk</t>
  </si>
  <si>
    <t>none</t>
  </si>
  <si>
    <t>NCN/3106-398</t>
  </si>
  <si>
    <t>02/15/01/ 12:00</t>
  </si>
  <si>
    <t>EcoLume</t>
  </si>
  <si>
    <t>7/Plastic vial with cup</t>
  </si>
  <si>
    <t>Beckman LS5000TD</t>
  </si>
  <si>
    <t>02/28/2001  13:26:00 PM</t>
  </si>
  <si>
    <t>Feb., 19, 2001</t>
  </si>
  <si>
    <t>corrected</t>
  </si>
  <si>
    <t>non-</t>
  </si>
  <si>
    <t>mBq/cell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</si>
</sst>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3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75"/>
      <name val="Arial"/>
      <family val="2"/>
    </font>
    <font>
      <b/>
      <sz val="16.5"/>
      <name val="Arial"/>
      <family val="0"/>
    </font>
    <font>
      <b/>
      <sz val="11"/>
      <name val="Arial"/>
      <family val="2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52367014"/>
        <c:axId val="1541079"/>
      </c:scatterChart>
      <c:valAx>
        <c:axId val="5236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1079"/>
        <c:crossesAt val="0.001"/>
        <c:crossBetween val="midCat"/>
        <c:dispUnits/>
      </c:valAx>
      <c:valAx>
        <c:axId val="154107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670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13869712"/>
        <c:axId val="57718545"/>
      </c:scatterChart>
      <c:valAx>
        <c:axId val="1386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crossBetween val="midCat"/>
        <c:dispUnits/>
      </c:valAx>
      <c:valAx>
        <c:axId val="5771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697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55"/>
          <c:w val="0.86475"/>
          <c:h val="0.802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0.2652433030697683</c:v>
                </c:pt>
                <c:pt idx="3">
                  <c:v>0.51560665552566</c:v>
                </c:pt>
                <c:pt idx="4">
                  <c:v>0.709421973771472</c:v>
                </c:pt>
                <c:pt idx="5">
                  <c:v>2.8286021863834736</c:v>
                </c:pt>
                <c:pt idx="6">
                  <c:v>1.2399988445978585</c:v>
                </c:pt>
                <c:pt idx="7">
                  <c:v>1.9590995005706011</c:v>
                </c:pt>
                <c:pt idx="8">
                  <c:v>2.276135638776378</c:v>
                </c:pt>
                <c:pt idx="9">
                  <c:v>0.994879870183432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0.3824362606232295</c:v>
                </c:pt>
                <c:pt idx="3">
                  <c:v>0.3163361661945231</c:v>
                </c:pt>
                <c:pt idx="4">
                  <c:v>0.226628895184136</c:v>
                </c:pt>
                <c:pt idx="5">
                  <c:v>0.1746931067044382</c:v>
                </c:pt>
                <c:pt idx="6">
                  <c:v>0.1605288007554297</c:v>
                </c:pt>
                <c:pt idx="7">
                  <c:v>0.21246458923512748</c:v>
                </c:pt>
                <c:pt idx="8">
                  <c:v>0.12039660056657225</c:v>
                </c:pt>
                <c:pt idx="9">
                  <c:v>0.21718602455146369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0.2652433030697683</c:v>
                </c:pt>
                <c:pt idx="3">
                  <c:v>0.51560665552566</c:v>
                </c:pt>
                <c:pt idx="4">
                  <c:v>0.709421973771472</c:v>
                </c:pt>
                <c:pt idx="5">
                  <c:v>2.8286021863834736</c:v>
                </c:pt>
                <c:pt idx="6">
                  <c:v>1.2399988445978585</c:v>
                </c:pt>
                <c:pt idx="7">
                  <c:v>1.9590995005706011</c:v>
                </c:pt>
                <c:pt idx="8">
                  <c:v>2.276135638776378</c:v>
                </c:pt>
                <c:pt idx="9">
                  <c:v>0.994879870183432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0.4056013607129876</c:v>
                </c:pt>
                <c:pt idx="3">
                  <c:v>0.3260581475498935</c:v>
                </c:pt>
                <c:pt idx="4">
                  <c:v>0.24850863077807708</c:v>
                </c:pt>
                <c:pt idx="5">
                  <c:v>0.263054478527392</c:v>
                </c:pt>
                <c:pt idx="6">
                  <c:v>0.1720166319993188</c:v>
                </c:pt>
                <c:pt idx="7">
                  <c:v>0.28211392946818</c:v>
                </c:pt>
                <c:pt idx="8">
                  <c:v>0.1468277629400341</c:v>
                </c:pt>
                <c:pt idx="9">
                  <c:v>0.22848016792776002</c:v>
                </c:pt>
              </c:numCache>
            </c:numRef>
          </c:yVal>
          <c:smooth val="0"/>
        </c:ser>
        <c:axId val="49704858"/>
        <c:axId val="44690539"/>
      </c:scatterChart>
      <c:valAx>
        <c:axId val="4970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90539"/>
        <c:crossesAt val="0.001"/>
        <c:crossBetween val="midCat"/>
        <c:dispUnits/>
      </c:valAx>
      <c:valAx>
        <c:axId val="44690539"/>
        <c:scaling>
          <c:logBase val="10"/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048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17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9.330534771594236</c:v>
                </c:pt>
                <c:pt idx="3">
                  <c:v>16.74954589385065</c:v>
                </c:pt>
                <c:pt idx="4">
                  <c:v>26.4670639995732</c:v>
                </c:pt>
                <c:pt idx="5">
                  <c:v>35.380090397045215</c:v>
                </c:pt>
                <c:pt idx="6">
                  <c:v>47.25518679691625</c:v>
                </c:pt>
                <c:pt idx="7">
                  <c:v>53.49142393959583</c:v>
                </c:pt>
                <c:pt idx="8">
                  <c:v>69.36187720969684</c:v>
                </c:pt>
                <c:pt idx="9">
                  <c:v>90.83039459008154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0.2652433030697683</c:v>
                </c:pt>
                <c:pt idx="3">
                  <c:v>0.51560665552566</c:v>
                </c:pt>
                <c:pt idx="4">
                  <c:v>0.709421973771472</c:v>
                </c:pt>
                <c:pt idx="5">
                  <c:v>2.8286021863834736</c:v>
                </c:pt>
                <c:pt idx="6">
                  <c:v>1.2399988445978585</c:v>
                </c:pt>
                <c:pt idx="7">
                  <c:v>1.9590995005706011</c:v>
                </c:pt>
                <c:pt idx="8">
                  <c:v>2.276135638776378</c:v>
                </c:pt>
                <c:pt idx="9">
                  <c:v>0.994879870183432</c:v>
                </c:pt>
              </c:numCache>
            </c:numRef>
          </c:yVal>
          <c:smooth val="0"/>
        </c:ser>
        <c:axId val="66670532"/>
        <c:axId val="63163877"/>
      </c:scatterChart>
      <c:valAx>
        <c:axId val="6667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163877"/>
        <c:crosses val="autoZero"/>
        <c:crossBetween val="midCat"/>
        <c:dispUnits/>
      </c:val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670532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075"/>
          <c:w val="0.89125"/>
          <c:h val="0.82725"/>
        </c:manualLayout>
      </c:layout>
      <c:scatterChart>
        <c:scatterStyle val="lineMarker"/>
        <c:varyColors val="0"/>
        <c:ser>
          <c:idx val="2"/>
          <c:order val="0"/>
          <c:tx>
            <c:v>non-corrected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'Unprotected Summary'!$N$29:$N$37</c:f>
              <c:numCache/>
            </c:numRef>
          </c:xVal>
          <c:yVal>
            <c:numRef>
              <c:f>'Unprotected Summary'!$O$29:$O$37</c:f>
              <c:numCache/>
            </c:numRef>
          </c:yVal>
          <c:smooth val="0"/>
        </c:ser>
        <c:ser>
          <c:idx val="3"/>
          <c:order val="1"/>
          <c:tx>
            <c:v>corrected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trendline>
            <c:spPr>
              <a:ln w="25400">
                <a:solidFill>
                  <a:srgbClr val="00CCFF"/>
                </a:solidFill>
              </a:ln>
            </c:spPr>
            <c:trendlineType val="linear"/>
            <c:forward val="10"/>
            <c:intercept val="1"/>
            <c:dispEq val="0"/>
            <c:dispRSqr val="0"/>
          </c:trendline>
          <c:xVal>
            <c:numRef>
              <c:f>'Unprotected Summary'!$N$29:$N$37</c:f>
              <c:numCache/>
            </c:numRef>
          </c:xVal>
          <c:yVal>
            <c:numRef>
              <c:f>'Unprotected Summary'!$P$29:$P$35</c:f>
              <c:numCache/>
            </c:numRef>
          </c:yVal>
          <c:smooth val="0"/>
        </c:ser>
        <c:ser>
          <c:idx val="4"/>
          <c:order val="2"/>
          <c:tx>
            <c:v>v79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forward val="10"/>
            <c:intercept val="1"/>
            <c:dispEq val="0"/>
            <c:dispRSqr val="0"/>
          </c:trendline>
          <c:xVal>
            <c:numRef>
              <c:f>'Unprotected Summary'!$N$29:$N$37</c:f>
              <c:numCache/>
            </c:numRef>
          </c:xVal>
          <c:yVal>
            <c:numRef>
              <c:f>'Unprotected Summary'!$S$29:$S$37</c:f>
              <c:numCache/>
            </c:numRef>
          </c:yVal>
          <c:smooth val="0"/>
        </c:ser>
        <c:ser>
          <c:idx val="5"/>
          <c:order val="3"/>
          <c:tx>
            <c:v>v79 corr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10"/>
            <c:intercept val="1"/>
            <c:dispEq val="0"/>
            <c:dispRSqr val="0"/>
          </c:trendline>
          <c:xVal>
            <c:numRef>
              <c:f>'Unprotected Summary'!$N$29:$N$37</c:f>
              <c:numCache/>
            </c:numRef>
          </c:xVal>
          <c:yVal>
            <c:numRef>
              <c:f>'Unprotected Summary'!$T$29:$T$37</c:f>
              <c:numCache/>
            </c:numRef>
          </c:yVal>
          <c:smooth val="0"/>
        </c:ser>
        <c:axId val="31603982"/>
        <c:axId val="16000383"/>
      </c:scatterChart>
      <c:valAx>
        <c:axId val="3160398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6000383"/>
        <c:crossesAt val="0.001"/>
        <c:crossBetween val="midCat"/>
        <c:dispUnits/>
      </c:valAx>
      <c:valAx>
        <c:axId val="16000383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16039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9"/>
          <c:y val="0.1745"/>
          <c:w val="0.3325"/>
          <c:h val="0.1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219075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19475" y="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18</xdr:row>
      <xdr:rowOff>9525</xdr:rowOff>
    </xdr:from>
    <xdr:to>
      <xdr:col>11</xdr:col>
      <xdr:colOff>171450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3429000" y="2924175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523875</xdr:colOff>
      <xdr:row>1</xdr:row>
      <xdr:rowOff>9525</xdr:rowOff>
    </xdr:from>
    <xdr:to>
      <xdr:col>20</xdr:col>
      <xdr:colOff>542925</xdr:colOff>
      <xdr:row>23</xdr:row>
      <xdr:rowOff>38100</xdr:rowOff>
    </xdr:to>
    <xdr:graphicFrame>
      <xdr:nvGraphicFramePr>
        <xdr:cNvPr id="3" name="Chart 3"/>
        <xdr:cNvGraphicFramePr/>
      </xdr:nvGraphicFramePr>
      <xdr:xfrm>
        <a:off x="8210550" y="171450"/>
        <a:ext cx="48958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D26" sqref="D2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 t="s">
        <v>102</v>
      </c>
    </row>
    <row r="2" ht="12.75">
      <c r="B2" s="61"/>
    </row>
    <row r="3" spans="1:2" ht="12.75">
      <c r="A3" s="24" t="s">
        <v>15</v>
      </c>
      <c r="B3" s="48" t="s">
        <v>102</v>
      </c>
    </row>
    <row r="4" spans="1:3" ht="12.75">
      <c r="A4" s="24" t="s">
        <v>16</v>
      </c>
      <c r="B4" s="50" t="s">
        <v>94</v>
      </c>
      <c r="C4" s="20"/>
    </row>
    <row r="5" spans="1:2" ht="12.75">
      <c r="A5" s="24" t="s">
        <v>17</v>
      </c>
      <c r="B5" s="50" t="s">
        <v>90</v>
      </c>
    </row>
    <row r="6" spans="1:2" ht="12.75">
      <c r="A6" s="24" t="s">
        <v>81</v>
      </c>
      <c r="B6" s="50" t="s">
        <v>95</v>
      </c>
    </row>
    <row r="7" spans="1:2" ht="12.75">
      <c r="A7" s="24" t="s">
        <v>21</v>
      </c>
      <c r="B7" s="50" t="s">
        <v>91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92</v>
      </c>
    </row>
    <row r="11" spans="1:2" ht="12.75">
      <c r="A11" s="24" t="s">
        <v>19</v>
      </c>
      <c r="B11" s="50" t="s">
        <v>96</v>
      </c>
    </row>
    <row r="12" spans="1:4" ht="12.75">
      <c r="A12" s="24" t="s">
        <v>27</v>
      </c>
      <c r="B12" s="52" t="s">
        <v>97</v>
      </c>
      <c r="C12" s="20" t="s">
        <v>25</v>
      </c>
      <c r="D12" s="56">
        <v>37</v>
      </c>
    </row>
    <row r="13" spans="1:4" ht="12.75">
      <c r="A13" s="24" t="s">
        <v>28</v>
      </c>
      <c r="B13" s="48" t="s">
        <v>102</v>
      </c>
      <c r="C13" s="20" t="s">
        <v>89</v>
      </c>
      <c r="D13" s="57">
        <v>4</v>
      </c>
    </row>
    <row r="14" spans="1:4" ht="12.75">
      <c r="A14" s="24" t="s">
        <v>83</v>
      </c>
      <c r="B14" s="51">
        <v>1</v>
      </c>
      <c r="C14" s="20" t="s">
        <v>26</v>
      </c>
      <c r="D14" s="47">
        <f>$D$12*EXP(-0.693*$D$13/($B$8))</f>
        <v>36.97721729606355</v>
      </c>
    </row>
    <row r="15" ht="12.75">
      <c r="B15" s="61"/>
    </row>
    <row r="16" spans="1:2" ht="12.75">
      <c r="A16" s="24" t="s">
        <v>35</v>
      </c>
      <c r="B16" s="49" t="s">
        <v>98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99</v>
      </c>
    </row>
    <row r="19" spans="1:2" ht="12.75">
      <c r="A19" s="24" t="s">
        <v>36</v>
      </c>
      <c r="B19" s="50" t="s">
        <v>100</v>
      </c>
    </row>
    <row r="20" spans="1:2" ht="12.75">
      <c r="A20" s="24" t="s">
        <v>37</v>
      </c>
      <c r="B20" s="51">
        <v>0.65</v>
      </c>
    </row>
    <row r="21" ht="12.75">
      <c r="B21" s="61"/>
    </row>
    <row r="22" spans="1:2" ht="12.75">
      <c r="A22" s="24" t="s">
        <v>23</v>
      </c>
      <c r="B22" s="65" t="s">
        <v>93</v>
      </c>
    </row>
    <row r="23" spans="1:4" ht="12.75">
      <c r="A23" s="24" t="s">
        <v>24</v>
      </c>
      <c r="B23" s="52">
        <v>36942.708333333336</v>
      </c>
      <c r="C23" s="20" t="s">
        <v>29</v>
      </c>
      <c r="D23" s="27">
        <v>21</v>
      </c>
    </row>
    <row r="24" spans="1:4" ht="12.75">
      <c r="A24" s="24" t="s">
        <v>69</v>
      </c>
      <c r="B24" s="52">
        <v>36950.5375</v>
      </c>
      <c r="C24" s="20" t="s">
        <v>30</v>
      </c>
      <c r="D24" s="27">
        <v>208</v>
      </c>
    </row>
    <row r="25" spans="1:4" ht="12.75">
      <c r="A25" s="24" t="s">
        <v>70</v>
      </c>
      <c r="B25" s="52" t="s">
        <v>101</v>
      </c>
      <c r="C25" s="20" t="s">
        <v>71</v>
      </c>
      <c r="D25" s="27">
        <v>209.5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8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8</v>
      </c>
      <c r="E32" s="54">
        <v>8</v>
      </c>
      <c r="F32" s="55">
        <v>8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D23" sqref="D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Feb., 19, 2001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 t="str">
        <f>Parameters!$B$1</f>
        <v>Feb., 19, 2001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7</v>
      </c>
      <c r="C13" s="28">
        <v>14</v>
      </c>
      <c r="D13" s="28">
        <v>11</v>
      </c>
      <c r="E13" s="34">
        <f>AVERAGE(B13:D13,B14:D14)</f>
        <v>10.166666666666666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13</v>
      </c>
      <c r="C14" s="28">
        <v>10</v>
      </c>
      <c r="D14" s="28">
        <v>6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66">
        <v>9948</v>
      </c>
      <c r="C15" s="66">
        <v>11104</v>
      </c>
      <c r="D15" s="66">
        <v>11685</v>
      </c>
      <c r="E15" s="35">
        <f>AVERAGE(B15:D15)</f>
        <v>10912.333333333334</v>
      </c>
      <c r="F15" s="36">
        <f>(E15-E13)</f>
        <v>10902.166666666668</v>
      </c>
      <c r="G15" s="35">
        <f>F15/(Parameters!$B$9*Parameters!$B$20)</f>
        <v>16772.564102564105</v>
      </c>
      <c r="H15" s="37">
        <f>G15/(37000*60*Parameters!$B$26/1000)</f>
        <v>0.2518403018403019</v>
      </c>
      <c r="I15" s="37">
        <f>H15/EXP(-0.693*Parameters!$D$24/(Parameters!$B$8*24))</f>
        <v>0.25217661544849285</v>
      </c>
      <c r="J15" s="37">
        <f>I15*37</f>
        <v>9.330534771594236</v>
      </c>
      <c r="O15" s="2"/>
      <c r="P15" s="9"/>
      <c r="Q15" s="2"/>
      <c r="R15" s="1"/>
    </row>
    <row r="16" spans="1:18" ht="12.75">
      <c r="A16" s="20">
        <v>4</v>
      </c>
      <c r="B16" s="66">
        <v>17853</v>
      </c>
      <c r="C16" s="66">
        <v>21530</v>
      </c>
      <c r="D16" s="66">
        <v>19360</v>
      </c>
      <c r="E16" s="35">
        <f aca="true" t="shared" si="0" ref="E16:E22">AVERAGE(B16:D16)</f>
        <v>19581</v>
      </c>
      <c r="F16" s="36">
        <f>E16-E13</f>
        <v>19570.833333333332</v>
      </c>
      <c r="G16" s="35">
        <f>F16/(Parameters!$B$9*Parameters!$B$20)</f>
        <v>30108.974358974356</v>
      </c>
      <c r="H16" s="37">
        <f>G16/(37000*60*Parameters!$B$26/1000)</f>
        <v>0.45208670208670204</v>
      </c>
      <c r="I16" s="37">
        <f>H16/EXP(-0.693*Parameters!$D$24/(Parameters!$B$8*24))</f>
        <v>0.45269042956353117</v>
      </c>
      <c r="J16" s="37">
        <f aca="true" t="shared" si="1" ref="J16:J22">I16*37</f>
        <v>16.74954589385065</v>
      </c>
      <c r="O16" s="2"/>
      <c r="P16" s="9"/>
      <c r="Q16" s="2"/>
      <c r="R16" s="1"/>
    </row>
    <row r="17" spans="1:18" ht="12.75">
      <c r="A17" s="20">
        <v>5</v>
      </c>
      <c r="B17" s="66">
        <v>30649</v>
      </c>
      <c r="C17" s="66">
        <v>29840</v>
      </c>
      <c r="D17" s="66">
        <v>32317</v>
      </c>
      <c r="E17" s="35">
        <f t="shared" si="0"/>
        <v>30935.333333333332</v>
      </c>
      <c r="F17" s="36">
        <f>E17-E13</f>
        <v>30925.166666666664</v>
      </c>
      <c r="G17" s="35">
        <f>F17/(Parameters!$B$9*Parameters!$B$20)</f>
        <v>47577.179487179485</v>
      </c>
      <c r="H17" s="37">
        <f>G17/(37000*60*Parameters!$B$26/1000)</f>
        <v>0.7143720643720644</v>
      </c>
      <c r="I17" s="37">
        <f>H17/EXP(-0.693*Parameters!$D$24/(Parameters!$B$8*24))</f>
        <v>0.7153260540425189</v>
      </c>
      <c r="J17" s="37">
        <f t="shared" si="1"/>
        <v>26.4670639995732</v>
      </c>
      <c r="O17" s="2"/>
      <c r="P17" s="9"/>
      <c r="Q17" s="2"/>
      <c r="R17" s="1"/>
    </row>
    <row r="18" spans="1:18" ht="12.75">
      <c r="A18" s="20">
        <v>6</v>
      </c>
      <c r="B18" s="66">
        <v>39713</v>
      </c>
      <c r="C18" s="66">
        <v>41940</v>
      </c>
      <c r="D18" s="66">
        <v>42396</v>
      </c>
      <c r="E18" s="35">
        <f t="shared" si="0"/>
        <v>41349.666666666664</v>
      </c>
      <c r="F18" s="36">
        <f>E18-E13</f>
        <v>41339.5</v>
      </c>
      <c r="G18" s="35">
        <f>F18/(Parameters!$B$9*Parameters!$B$20)</f>
        <v>63599.230769230766</v>
      </c>
      <c r="H18" s="37">
        <f>G18/(37000*60*Parameters!$B$26/1000)</f>
        <v>0.9549434049434049</v>
      </c>
      <c r="I18" s="37">
        <f>H18/EXP(-0.693*Parameters!$D$24/(Parameters!$B$8*24))</f>
        <v>0.9562186593796005</v>
      </c>
      <c r="J18" s="37">
        <f t="shared" si="1"/>
        <v>35.380090397045215</v>
      </c>
      <c r="O18" s="2"/>
      <c r="P18" s="9"/>
      <c r="Q18" s="2"/>
      <c r="R18" s="1"/>
    </row>
    <row r="19" spans="1:18" ht="12.75">
      <c r="A19" s="20">
        <v>7</v>
      </c>
      <c r="B19" s="66">
        <v>53445</v>
      </c>
      <c r="C19" s="66">
        <v>53405</v>
      </c>
      <c r="D19" s="66">
        <v>58825</v>
      </c>
      <c r="E19" s="35">
        <f t="shared" si="0"/>
        <v>55225</v>
      </c>
      <c r="F19" s="36">
        <f>E19-E13</f>
        <v>55214.833333333336</v>
      </c>
      <c r="G19" s="35">
        <f>F19/(Parameters!$B$9*Parameters!$B$20)</f>
        <v>84945.89743589744</v>
      </c>
      <c r="H19" s="37">
        <f>G19/(37000*60*Parameters!$B$26/1000)</f>
        <v>1.2754639254639255</v>
      </c>
      <c r="I19" s="37">
        <f>H19/EXP(-0.693*Parameters!$D$24/(Parameters!$B$8*24))</f>
        <v>1.277167210727466</v>
      </c>
      <c r="J19" s="37">
        <f t="shared" si="1"/>
        <v>47.25518679691625</v>
      </c>
      <c r="O19" s="2"/>
      <c r="P19" s="9"/>
      <c r="Q19" s="2"/>
      <c r="R19" s="1"/>
    </row>
    <row r="20" spans="1:18" ht="12.75">
      <c r="A20" s="20">
        <v>8</v>
      </c>
      <c r="B20" s="29">
        <v>58745</v>
      </c>
      <c r="C20" s="29">
        <v>64980</v>
      </c>
      <c r="D20" s="29">
        <v>63810</v>
      </c>
      <c r="E20" s="35">
        <f t="shared" si="0"/>
        <v>62511.666666666664</v>
      </c>
      <c r="F20" s="36">
        <f>E20-E13</f>
        <v>62501.5</v>
      </c>
      <c r="G20" s="35">
        <f>F20/(Parameters!$B$9*Parameters!$B$20)</f>
        <v>96156.15384615384</v>
      </c>
      <c r="H20" s="37">
        <f>G20/(37000*60*Parameters!$B$26/1000)</f>
        <v>1.4437860937860938</v>
      </c>
      <c r="I20" s="37">
        <f>H20/EXP(-0.693*Parameters!$D$24/(Parameters!$B$8*24))</f>
        <v>1.445714160529617</v>
      </c>
      <c r="J20" s="37">
        <f t="shared" si="1"/>
        <v>53.49142393959583</v>
      </c>
      <c r="O20" s="2"/>
      <c r="P20" s="9"/>
      <c r="Q20" s="2"/>
      <c r="R20" s="1"/>
    </row>
    <row r="21" spans="1:18" ht="12.75">
      <c r="A21" s="20">
        <v>9</v>
      </c>
      <c r="B21" s="29">
        <v>78306</v>
      </c>
      <c r="C21" s="29">
        <v>81680</v>
      </c>
      <c r="D21" s="29">
        <v>83180</v>
      </c>
      <c r="E21" s="35">
        <f t="shared" si="0"/>
        <v>81055.33333333333</v>
      </c>
      <c r="F21" s="36">
        <f>E21-E13</f>
        <v>81045.16666666666</v>
      </c>
      <c r="G21" s="35">
        <f>F21/(Parameters!$B$9*Parameters!$B$20)</f>
        <v>124684.87179487178</v>
      </c>
      <c r="H21" s="37">
        <f>G21/(37000*60*Parameters!$B$26/1000)</f>
        <v>1.872145222145222</v>
      </c>
      <c r="I21" s="37">
        <f>H21/EXP(-0.693*Parameters!$D$24/(Parameters!$B$8*24))</f>
        <v>1.8746453299918064</v>
      </c>
      <c r="J21" s="37">
        <f t="shared" si="1"/>
        <v>69.36187720969684</v>
      </c>
      <c r="O21" s="2"/>
      <c r="P21" s="9"/>
      <c r="Q21" s="2"/>
      <c r="R21" s="1"/>
    </row>
    <row r="22" spans="1:18" ht="12.75">
      <c r="A22" s="20">
        <v>10</v>
      </c>
      <c r="B22" s="29">
        <v>100560</v>
      </c>
      <c r="C22" s="29">
        <v>106153</v>
      </c>
      <c r="D22" s="29">
        <v>111707</v>
      </c>
      <c r="E22" s="35">
        <f t="shared" si="0"/>
        <v>106140</v>
      </c>
      <c r="F22" s="36">
        <f>E22-E13</f>
        <v>106129.83333333333</v>
      </c>
      <c r="G22" s="35">
        <f>F22/(Parameters!$B$9*Parameters!$B$20)</f>
        <v>163276.66666666666</v>
      </c>
      <c r="H22" s="37">
        <f>G22/(37000*60*Parameters!$B$26/1000)</f>
        <v>2.4516016016016016</v>
      </c>
      <c r="I22" s="37">
        <f>H22/EXP(-0.693*Parameters!$D$24/(Parameters!$B$8*24))</f>
        <v>2.4548755294616633</v>
      </c>
      <c r="J22" s="37">
        <f t="shared" si="1"/>
        <v>90.83039459008154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22" sqref="E22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Feb., 19, 2001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 t="str">
        <f>Parameters!$B$1</f>
        <v>Feb., 19, 2001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14</v>
      </c>
      <c r="C13" s="28">
        <v>6</v>
      </c>
      <c r="D13" s="28">
        <v>12</v>
      </c>
      <c r="E13" s="34">
        <f>AVERAGE(B13:D14)</f>
        <v>9.333333333333334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9</v>
      </c>
      <c r="C14" s="28">
        <v>5</v>
      </c>
      <c r="D14" s="28">
        <v>10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66">
        <v>2054</v>
      </c>
      <c r="C15" s="66">
        <v>1826</v>
      </c>
      <c r="D15" s="66">
        <v>1829</v>
      </c>
      <c r="E15" s="35">
        <f aca="true" t="shared" si="1" ref="E15:E22">AVERAGE(B15:D15)</f>
        <v>1903</v>
      </c>
      <c r="F15" s="35">
        <f>E15-$E$13</f>
        <v>1893.6666666666667</v>
      </c>
      <c r="G15" s="35">
        <f>F15/(Parameters!$B$9*Parameters!$B$20)</f>
        <v>2913.3333333333335</v>
      </c>
      <c r="H15" s="42">
        <f>G15/(37000*60*Parameters!$B$27/1000)</f>
        <v>0.013123123123123123</v>
      </c>
      <c r="I15" s="42">
        <f>H15/EXP(-0.693*(Parameters!$D$25)/(Parameters!$B$8*24))</f>
        <v>0.013140774524696124</v>
      </c>
      <c r="J15" s="37">
        <f t="shared" si="0"/>
        <v>0.4862086574137566</v>
      </c>
    </row>
    <row r="16" spans="1:10" ht="12.75">
      <c r="A16" s="20">
        <v>4</v>
      </c>
      <c r="B16" s="66">
        <v>4129</v>
      </c>
      <c r="C16" s="66">
        <v>3210</v>
      </c>
      <c r="D16" s="66">
        <v>4052</v>
      </c>
      <c r="E16" s="35">
        <f t="shared" si="1"/>
        <v>3797</v>
      </c>
      <c r="F16" s="35">
        <f aca="true" t="shared" si="2" ref="F16:F22">E16-$E$13</f>
        <v>3787.6666666666665</v>
      </c>
      <c r="G16" s="35">
        <f>F16/(Parameters!$B$9*Parameters!$B$20)</f>
        <v>5827.179487179486</v>
      </c>
      <c r="H16" s="42">
        <f>G16/(37000*60*Parameters!$B$27/1000)</f>
        <v>0.026248556248556244</v>
      </c>
      <c r="I16" s="42">
        <f>H16/EXP(-0.693*(Parameters!$D$25)/(Parameters!$B$8*24))</f>
        <v>0.026283862158796342</v>
      </c>
      <c r="J16" s="37">
        <f t="shared" si="0"/>
        <v>0.9725028998754647</v>
      </c>
    </row>
    <row r="17" spans="1:10" ht="12.75">
      <c r="A17" s="20">
        <v>5</v>
      </c>
      <c r="B17" s="66">
        <v>4787</v>
      </c>
      <c r="C17" s="66">
        <v>4881</v>
      </c>
      <c r="D17" s="66">
        <v>5056</v>
      </c>
      <c r="E17" s="35">
        <f t="shared" si="1"/>
        <v>4908</v>
      </c>
      <c r="F17" s="35">
        <f t="shared" si="2"/>
        <v>4898.666666666667</v>
      </c>
      <c r="G17" s="35">
        <f>F17/(Parameters!$B$9*Parameters!$B$20)</f>
        <v>7536.410256410257</v>
      </c>
      <c r="H17" s="42">
        <f>G17/(37000*60*Parameters!$B$27/1000)</f>
        <v>0.03394779394779395</v>
      </c>
      <c r="I17" s="42">
        <f>H17/EXP(-0.693*(Parameters!$D$25)/(Parameters!$B$8*24))</f>
        <v>0.03399345580266401</v>
      </c>
      <c r="J17" s="37">
        <f t="shared" si="0"/>
        <v>1.2577578646985683</v>
      </c>
    </row>
    <row r="18" spans="1:10" ht="12.75">
      <c r="A18" s="20">
        <v>6</v>
      </c>
      <c r="B18" s="66">
        <v>14587</v>
      </c>
      <c r="C18" s="66">
        <v>14578</v>
      </c>
      <c r="D18" s="66">
        <v>13533</v>
      </c>
      <c r="E18" s="35">
        <f t="shared" si="1"/>
        <v>14232.666666666666</v>
      </c>
      <c r="F18" s="35">
        <f t="shared" si="2"/>
        <v>14223.333333333332</v>
      </c>
      <c r="G18" s="35">
        <f>F18/(Parameters!$B$9*Parameters!$B$20)</f>
        <v>21882.051282051278</v>
      </c>
      <c r="H18" s="42">
        <f>G18/(37000*60*Parameters!$B$27/1000)</f>
        <v>0.09856779856779854</v>
      </c>
      <c r="I18" s="42">
        <f>H18/EXP(-0.693*(Parameters!$D$25)/(Parameters!$B$8*24))</f>
        <v>0.09870037827297719</v>
      </c>
      <c r="J18" s="37">
        <f t="shared" si="0"/>
        <v>3.651913996100156</v>
      </c>
    </row>
    <row r="19" spans="1:10" ht="12.75">
      <c r="A19" s="20">
        <v>7</v>
      </c>
      <c r="B19" s="66">
        <v>8815</v>
      </c>
      <c r="C19" s="66">
        <v>8537</v>
      </c>
      <c r="D19" s="66">
        <v>8962</v>
      </c>
      <c r="E19" s="35">
        <f t="shared" si="1"/>
        <v>8771.333333333334</v>
      </c>
      <c r="F19" s="35">
        <f t="shared" si="2"/>
        <v>8762</v>
      </c>
      <c r="G19" s="35">
        <f>F19/(Parameters!$B$9*Parameters!$B$20)</f>
        <v>13480</v>
      </c>
      <c r="H19" s="42">
        <f>G19/(37000*60*Parameters!$B$27/1000)</f>
        <v>0.06072072072072072</v>
      </c>
      <c r="I19" s="42">
        <f>H19/EXP(-0.693*(Parameters!$D$25)/(Parameters!$B$8*24))</f>
        <v>0.06080239379619121</v>
      </c>
      <c r="J19" s="37">
        <f t="shared" si="0"/>
        <v>2.249688570459075</v>
      </c>
    </row>
    <row r="20" spans="1:10" ht="12.75">
      <c r="A20" s="20">
        <v>8</v>
      </c>
      <c r="B20" s="29">
        <v>11586</v>
      </c>
      <c r="C20" s="29">
        <v>11253</v>
      </c>
      <c r="D20" s="29">
        <v>10704</v>
      </c>
      <c r="E20" s="35">
        <f t="shared" si="1"/>
        <v>11181</v>
      </c>
      <c r="F20" s="35">
        <f t="shared" si="2"/>
        <v>11171.666666666666</v>
      </c>
      <c r="G20" s="35">
        <f>F20/(Parameters!$B$9*Parameters!$B$20)</f>
        <v>17187.179487179485</v>
      </c>
      <c r="H20" s="42">
        <f>G20/(37000*60*Parameters!$B$27/1000)</f>
        <v>0.07741972741972741</v>
      </c>
      <c r="I20" s="42">
        <f>H20/EXP(-0.693*(Parameters!$D$25)/(Parameters!$B$8*24))</f>
        <v>0.07752386167843522</v>
      </c>
      <c r="J20" s="37">
        <f t="shared" si="0"/>
        <v>2.8683828821021033</v>
      </c>
    </row>
    <row r="21" spans="1:10" ht="12.75">
      <c r="A21" s="20">
        <v>9</v>
      </c>
      <c r="B21" s="29">
        <v>14774</v>
      </c>
      <c r="C21" s="29">
        <v>13922</v>
      </c>
      <c r="D21" s="29">
        <v>13728</v>
      </c>
      <c r="E21" s="35">
        <f t="shared" si="1"/>
        <v>14141.333333333334</v>
      </c>
      <c r="F21" s="35">
        <f t="shared" si="2"/>
        <v>14132</v>
      </c>
      <c r="G21" s="35">
        <f>F21/(Parameters!$B$9*Parameters!$B$20)</f>
        <v>21741.53846153846</v>
      </c>
      <c r="H21" s="42">
        <f>G21/(37000*60*Parameters!$B$27/1000)</f>
        <v>0.09793485793485793</v>
      </c>
      <c r="I21" s="42">
        <f>H21/EXP(-0.693*(Parameters!$D$25)/(Parameters!$B$8*24))</f>
        <v>0.09806658629625362</v>
      </c>
      <c r="J21" s="37">
        <f t="shared" si="0"/>
        <v>3.628463692961384</v>
      </c>
    </row>
    <row r="22" spans="1:10" ht="12.75">
      <c r="A22" s="20">
        <v>10</v>
      </c>
      <c r="B22" s="29">
        <v>7032</v>
      </c>
      <c r="C22" s="29">
        <v>6931</v>
      </c>
      <c r="D22" s="29">
        <v>7547</v>
      </c>
      <c r="E22" s="35">
        <f t="shared" si="1"/>
        <v>7170</v>
      </c>
      <c r="F22" s="35">
        <f t="shared" si="2"/>
        <v>7160.666666666667</v>
      </c>
      <c r="G22" s="35">
        <f>F22/(Parameters!$B$9*Parameters!$B$20)</f>
        <v>11016.410256410256</v>
      </c>
      <c r="H22" s="42">
        <f>G22/(37000*60*Parameters!$B$27/1000)</f>
        <v>0.04962346962346962</v>
      </c>
      <c r="I22" s="42">
        <f>H22/EXP(-0.693*(Parameters!$D$25)/(Parameters!$B$8*24))</f>
        <v>0.04969021621889141</v>
      </c>
      <c r="J22" s="37">
        <f t="shared" si="0"/>
        <v>1.8385380000989822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9">
      <selection activeCell="F45" sqref="F45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Feb., 19, 2001</v>
      </c>
      <c r="D3" s="20"/>
      <c r="E3" s="20"/>
      <c r="F3" s="20"/>
    </row>
    <row r="4" spans="1:6" ht="12.75">
      <c r="A4" s="62" t="s">
        <v>12</v>
      </c>
      <c r="B4" s="20"/>
      <c r="C4" s="43" t="str">
        <f>Parameters!$B$1</f>
        <v>Feb., 19, 2001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4337</v>
      </c>
      <c r="C13" s="28">
        <v>4862</v>
      </c>
      <c r="D13" s="28"/>
      <c r="E13" s="34">
        <f>IF(Parameters!$B$33="Yes",AVERAGE(G13:J13),AVERAGE(B13:D13))</f>
        <v>4599.5</v>
      </c>
      <c r="F13" s="34">
        <f>IF(Parameters!$B$33="Yes",E13*10000,(E13-Parameters!$B$31)*Parameters!$B$32*(100/Parameters!$B$29)*(500/Parameters!$B$30))</f>
        <v>1836600</v>
      </c>
      <c r="G13" s="26"/>
      <c r="H13" s="26"/>
      <c r="I13" s="26"/>
      <c r="J13" s="26"/>
    </row>
    <row r="14" spans="1:10" ht="12.75">
      <c r="A14" s="63">
        <v>2</v>
      </c>
      <c r="B14" s="28">
        <v>5218</v>
      </c>
      <c r="C14" s="28">
        <v>5006</v>
      </c>
      <c r="D14" s="28">
        <v>5187</v>
      </c>
      <c r="E14" s="34">
        <f>IF(Parameters!$B$33="Yes",AVERAGE(G14:J14),AVERAGE(B14:D14))</f>
        <v>5137</v>
      </c>
      <c r="F14" s="34">
        <f>IF(Parameters!$B$33="Yes",E14*10000,(E14-Parameters!$B$31)*Parameters!$B$32*(100/Parameters!$B$29)*(500/Parameters!$B$30))</f>
        <v>2051600</v>
      </c>
      <c r="G14" s="26"/>
      <c r="H14" s="26"/>
      <c r="I14" s="26"/>
      <c r="J14" s="26"/>
    </row>
    <row r="15" spans="1:10" ht="12.75">
      <c r="A15" s="62">
        <v>3</v>
      </c>
      <c r="B15" s="66">
        <v>4586</v>
      </c>
      <c r="C15" s="66">
        <v>4605</v>
      </c>
      <c r="D15" s="66">
        <v>4581</v>
      </c>
      <c r="E15" s="35">
        <f>IF(Parameters!$B$33="Yes",AVERAGE(G15:J15),AVERAGE(B15:D15))</f>
        <v>4590.666666666667</v>
      </c>
      <c r="F15" s="35">
        <f>IF(Parameters!$B$33="Yes",E15*10000,(E15-Parameters!$B$31)*Parameters!$B$32*(100/Parameters!$B$29)*(500/Parameters!$B$30))</f>
        <v>1833066.6666666667</v>
      </c>
      <c r="G15" s="26"/>
      <c r="H15" s="26"/>
      <c r="I15" s="26"/>
      <c r="J15" s="26"/>
    </row>
    <row r="16" spans="1:10" ht="12.75">
      <c r="A16" s="62">
        <v>4</v>
      </c>
      <c r="B16" s="66">
        <v>4944</v>
      </c>
      <c r="C16" s="66">
        <v>4420</v>
      </c>
      <c r="D16" s="66">
        <v>4806</v>
      </c>
      <c r="E16" s="35">
        <f>IF(Parameters!$B$33="Yes",AVERAGE(G16:J16),AVERAGE(B16:D16))</f>
        <v>4723.333333333333</v>
      </c>
      <c r="F16" s="35">
        <f>IF(Parameters!$B$33="Yes",E16*10000,(E16-Parameters!$B$31)*Parameters!$B$32*(100/Parameters!$B$29)*(500/Parameters!$B$30))</f>
        <v>1886133.3333333333</v>
      </c>
      <c r="G16" s="26"/>
      <c r="H16" s="26"/>
      <c r="I16" s="26"/>
      <c r="J16" s="26"/>
    </row>
    <row r="17" spans="1:10" ht="12.75">
      <c r="A17" s="62">
        <v>5</v>
      </c>
      <c r="B17" s="66">
        <v>4590</v>
      </c>
      <c r="C17" s="66">
        <v>4492</v>
      </c>
      <c r="D17" s="66">
        <v>4239</v>
      </c>
      <c r="E17" s="35">
        <f>IF(Parameters!$B$33="Yes",AVERAGE(G17:J17),AVERAGE(B17:D17))</f>
        <v>4440.333333333333</v>
      </c>
      <c r="F17" s="35">
        <f>IF(Parameters!$B$33="Yes",E17*10000,(E17-Parameters!$B$31)*Parameters!$B$32*(100/Parameters!$B$29)*(500/Parameters!$B$30))</f>
        <v>1772933.3333333333</v>
      </c>
      <c r="G17" s="26"/>
      <c r="H17" s="26"/>
      <c r="I17" s="26"/>
      <c r="J17" s="26"/>
    </row>
    <row r="18" spans="1:10" ht="12.75">
      <c r="A18" s="62">
        <v>6</v>
      </c>
      <c r="B18" s="66">
        <v>3193</v>
      </c>
      <c r="C18" s="66">
        <v>3300</v>
      </c>
      <c r="D18" s="66">
        <v>3214</v>
      </c>
      <c r="E18" s="35">
        <f>IF(Parameters!$B$33="Yes",AVERAGE(G18:J18),AVERAGE(B18:D18))</f>
        <v>3235.6666666666665</v>
      </c>
      <c r="F18" s="35">
        <f>IF(Parameters!$B$33="Yes",E18*10000,(E18-Parameters!$B$31)*Parameters!$B$32*(100/Parameters!$B$29)*(500/Parameters!$B$30))</f>
        <v>1291066.6666666665</v>
      </c>
      <c r="G18" s="26"/>
      <c r="H18" s="26"/>
      <c r="I18" s="26"/>
      <c r="J18" s="26"/>
    </row>
    <row r="19" spans="1:10" ht="12.75">
      <c r="A19" s="62">
        <v>7</v>
      </c>
      <c r="B19" s="66">
        <v>4505</v>
      </c>
      <c r="C19" s="66">
        <v>4523</v>
      </c>
      <c r="D19" s="66">
        <v>4603</v>
      </c>
      <c r="E19" s="35">
        <f>IF(Parameters!$B$33="Yes",AVERAGE(G19:J19),AVERAGE(B19:D19))</f>
        <v>4543.666666666667</v>
      </c>
      <c r="F19" s="35">
        <f>IF(Parameters!$B$33="Yes",E19*10000,(E19-Parameters!$B$31)*Parameters!$B$32*(100/Parameters!$B$29)*(500/Parameters!$B$30))</f>
        <v>1814266.6666666667</v>
      </c>
      <c r="G19" s="26"/>
      <c r="H19" s="26"/>
      <c r="I19" s="26"/>
      <c r="J19" s="26"/>
    </row>
    <row r="20" spans="1:10" ht="12.75">
      <c r="A20" s="62">
        <v>8</v>
      </c>
      <c r="B20" s="29">
        <v>3966</v>
      </c>
      <c r="C20" s="29">
        <v>3431</v>
      </c>
      <c r="D20" s="29">
        <v>3608</v>
      </c>
      <c r="E20" s="35">
        <f>IF(Parameters!$B$33="Yes",AVERAGE(G20:J20),AVERAGE(B20:D20))</f>
        <v>3668.3333333333335</v>
      </c>
      <c r="F20" s="35">
        <f>IF(Parameters!$B$33="Yes",E20*10000,(E20-Parameters!$B$31)*Parameters!$B$32*(100/Parameters!$B$29)*(500/Parameters!$B$30))</f>
        <v>1464133.3333333335</v>
      </c>
      <c r="G20" s="26"/>
      <c r="H20" s="26"/>
      <c r="I20" s="26"/>
      <c r="J20" s="26"/>
    </row>
    <row r="21" spans="1:10" ht="12.75">
      <c r="A21" s="62">
        <v>9</v>
      </c>
      <c r="B21" s="29">
        <v>3942</v>
      </c>
      <c r="C21" s="29">
        <v>4027</v>
      </c>
      <c r="D21" s="29">
        <v>4011</v>
      </c>
      <c r="E21" s="35">
        <f>IF(Parameters!$B$33="Yes",AVERAGE(G21:J21),AVERAGE(B21:D21))</f>
        <v>3993.3333333333335</v>
      </c>
      <c r="F21" s="35">
        <f>IF(Parameters!$B$33="Yes",E21*10000,(E21-Parameters!$B$31)*Parameters!$B$32*(100/Parameters!$B$29)*(500/Parameters!$B$30))</f>
        <v>1594133.3333333335</v>
      </c>
      <c r="G21" s="26"/>
      <c r="H21" s="26"/>
      <c r="I21" s="26"/>
      <c r="J21" s="26"/>
    </row>
    <row r="22" spans="1:10" ht="12.75">
      <c r="A22" s="62">
        <v>10</v>
      </c>
      <c r="B22" s="29">
        <v>4673</v>
      </c>
      <c r="C22" s="29">
        <v>4637</v>
      </c>
      <c r="D22" s="29">
        <v>4574</v>
      </c>
      <c r="E22" s="35">
        <f>IF(Parameters!$B$33="Yes",AVERAGE(G22:J22),AVERAGE(B22:D22))</f>
        <v>4628</v>
      </c>
      <c r="F22" s="35">
        <f>IF(Parameters!$B$33="Yes",E22*10000,(E22-Parameters!$B$31)*Parameters!$B$32*(100/Parameters!$B$29)*(500/Parameters!$B$30))</f>
        <v>1848000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183.66</v>
      </c>
      <c r="D35" s="28">
        <v>68</v>
      </c>
      <c r="E35" s="28">
        <v>78</v>
      </c>
      <c r="F35" s="28"/>
      <c r="G35" s="34">
        <f>AVERAGE(D35:F36)</f>
        <v>70.6</v>
      </c>
      <c r="H35" s="44">
        <f>G35/C35*100</f>
        <v>38.440596754873134</v>
      </c>
      <c r="I35" s="59">
        <f>G35*200/B35/$G$35</f>
        <v>1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205.16</v>
      </c>
      <c r="D36" s="28">
        <v>55</v>
      </c>
      <c r="E36" s="28">
        <v>76</v>
      </c>
      <c r="F36" s="28">
        <v>76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183.30666666666667</v>
      </c>
      <c r="D37" s="29">
        <v>26</v>
      </c>
      <c r="E37" s="29">
        <v>37</v>
      </c>
      <c r="F37" s="29">
        <v>18</v>
      </c>
      <c r="G37" s="35">
        <f aca="true" t="shared" si="1" ref="G37:G44">AVERAGE(D37:F37)</f>
        <v>27</v>
      </c>
      <c r="H37" s="46">
        <f aca="true" t="shared" si="2" ref="H37:H44">G37/C37*100</f>
        <v>14.72941518766366</v>
      </c>
      <c r="I37" s="37">
        <f aca="true" t="shared" si="3" ref="I37:I44">G37*200/B37/$G$35</f>
        <v>0.3824362606232295</v>
      </c>
      <c r="J37" s="37">
        <f>(G37/C37)/($G$35/AVERAGE($C$35,$C$36))</f>
        <v>0.4056013607129876</v>
      </c>
    </row>
    <row r="38" spans="1:10" ht="12.75">
      <c r="A38" s="62">
        <v>4</v>
      </c>
      <c r="B38" s="26">
        <v>200</v>
      </c>
      <c r="C38" s="35">
        <f t="shared" si="0"/>
        <v>188.61333333333332</v>
      </c>
      <c r="D38" s="29">
        <v>20</v>
      </c>
      <c r="E38" s="29">
        <v>27</v>
      </c>
      <c r="F38" s="29">
        <v>20</v>
      </c>
      <c r="G38" s="35">
        <f t="shared" si="1"/>
        <v>22.333333333333332</v>
      </c>
      <c r="H38" s="46">
        <f t="shared" si="2"/>
        <v>11.840803053866818</v>
      </c>
      <c r="I38" s="37">
        <f t="shared" si="3"/>
        <v>0.3163361661945231</v>
      </c>
      <c r="J38" s="37">
        <f aca="true" t="shared" si="4" ref="J38:J44">(G38/C38)/($G$35/AVERAGE($C$35,$C$36))</f>
        <v>0.3260581475498935</v>
      </c>
    </row>
    <row r="39" spans="1:10" ht="12.75">
      <c r="A39" s="62">
        <v>5</v>
      </c>
      <c r="B39" s="26">
        <v>200</v>
      </c>
      <c r="C39" s="35">
        <f t="shared" si="0"/>
        <v>177.29333333333332</v>
      </c>
      <c r="D39" s="29">
        <v>20</v>
      </c>
      <c r="E39" s="29">
        <v>15</v>
      </c>
      <c r="F39" s="29">
        <v>13</v>
      </c>
      <c r="G39" s="35">
        <f t="shared" si="1"/>
        <v>16</v>
      </c>
      <c r="H39" s="46">
        <f t="shared" si="2"/>
        <v>9.024592013236068</v>
      </c>
      <c r="I39" s="37">
        <f t="shared" si="3"/>
        <v>0.226628895184136</v>
      </c>
      <c r="J39" s="37">
        <f t="shared" si="4"/>
        <v>0.24850863077807708</v>
      </c>
    </row>
    <row r="40" spans="1:10" ht="12.75">
      <c r="A40" s="62">
        <v>6</v>
      </c>
      <c r="B40" s="26">
        <v>200</v>
      </c>
      <c r="C40" s="35">
        <f t="shared" si="0"/>
        <v>129.10666666666665</v>
      </c>
      <c r="D40" s="29">
        <v>12</v>
      </c>
      <c r="E40" s="29">
        <v>18</v>
      </c>
      <c r="F40" s="29">
        <v>7</v>
      </c>
      <c r="G40" s="35">
        <f t="shared" si="1"/>
        <v>12.333333333333334</v>
      </c>
      <c r="H40" s="46">
        <f t="shared" si="2"/>
        <v>9.55282453784984</v>
      </c>
      <c r="I40" s="37">
        <f t="shared" si="3"/>
        <v>0.1746931067044382</v>
      </c>
      <c r="J40" s="37">
        <f t="shared" si="4"/>
        <v>0.263054478527392</v>
      </c>
    </row>
    <row r="41" spans="1:10" ht="12.75">
      <c r="A41" s="62">
        <v>7</v>
      </c>
      <c r="B41" s="26">
        <v>200</v>
      </c>
      <c r="C41" s="35">
        <f t="shared" si="0"/>
        <v>181.42666666666668</v>
      </c>
      <c r="D41" s="29">
        <v>9</v>
      </c>
      <c r="E41" s="29">
        <v>12</v>
      </c>
      <c r="F41" s="29">
        <v>13</v>
      </c>
      <c r="G41" s="35">
        <f t="shared" si="1"/>
        <v>11.333333333333334</v>
      </c>
      <c r="H41" s="46">
        <f t="shared" si="2"/>
        <v>6.246784743146909</v>
      </c>
      <c r="I41" s="37">
        <f t="shared" si="3"/>
        <v>0.1605288007554297</v>
      </c>
      <c r="J41" s="37">
        <f t="shared" si="4"/>
        <v>0.1720166319993188</v>
      </c>
    </row>
    <row r="42" spans="1:10" ht="12.75">
      <c r="A42" s="62">
        <v>8</v>
      </c>
      <c r="B42" s="26">
        <v>200</v>
      </c>
      <c r="C42" s="35">
        <f t="shared" si="0"/>
        <v>146.41333333333336</v>
      </c>
      <c r="D42" s="29">
        <v>12</v>
      </c>
      <c r="E42" s="29">
        <v>18</v>
      </c>
      <c r="F42" s="29"/>
      <c r="G42" s="35">
        <f t="shared" si="1"/>
        <v>15</v>
      </c>
      <c r="H42" s="46">
        <f t="shared" si="2"/>
        <v>10.244968582096346</v>
      </c>
      <c r="I42" s="37">
        <f t="shared" si="3"/>
        <v>0.21246458923512748</v>
      </c>
      <c r="J42" s="37">
        <f t="shared" si="4"/>
        <v>0.28211392946818</v>
      </c>
    </row>
    <row r="43" spans="1:10" ht="12.75">
      <c r="A43" s="62">
        <v>9</v>
      </c>
      <c r="B43" s="26">
        <v>200</v>
      </c>
      <c r="C43" s="35">
        <f t="shared" si="0"/>
        <v>159.41333333333336</v>
      </c>
      <c r="D43" s="29">
        <v>13</v>
      </c>
      <c r="E43" s="29">
        <v>4</v>
      </c>
      <c r="F43" s="29"/>
      <c r="G43" s="35">
        <f t="shared" si="1"/>
        <v>8.5</v>
      </c>
      <c r="H43" s="46">
        <f t="shared" si="2"/>
        <v>5.332050853128136</v>
      </c>
      <c r="I43" s="37">
        <f t="shared" si="3"/>
        <v>0.12039660056657225</v>
      </c>
      <c r="J43" s="37">
        <f t="shared" si="4"/>
        <v>0.1468277629400341</v>
      </c>
    </row>
    <row r="44" spans="1:10" ht="12.75">
      <c r="A44" s="62">
        <v>10</v>
      </c>
      <c r="B44" s="26">
        <v>200</v>
      </c>
      <c r="C44" s="35">
        <f t="shared" si="0"/>
        <v>184.8</v>
      </c>
      <c r="D44" s="29">
        <v>22</v>
      </c>
      <c r="E44" s="29">
        <v>11</v>
      </c>
      <c r="F44" s="29">
        <v>13</v>
      </c>
      <c r="G44" s="35">
        <f t="shared" si="1"/>
        <v>15.333333333333334</v>
      </c>
      <c r="H44" s="46">
        <f t="shared" si="2"/>
        <v>8.297258297258297</v>
      </c>
      <c r="I44" s="37">
        <f t="shared" si="3"/>
        <v>0.21718602455146369</v>
      </c>
      <c r="J44" s="37">
        <f t="shared" si="4"/>
        <v>0.22848016792776002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C13">
      <selection activeCell="F29" sqref="F29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Feb., 19,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9.330534771594236</v>
      </c>
      <c r="C15" s="46">
        <f>CellSuspension!J15/(CoulterSurvival!F15*Parameters!$B$14)*1000000</f>
        <v>0.2652433030697683</v>
      </c>
      <c r="D15" s="37">
        <f>CoulterSurvival!I37</f>
        <v>0.3824362606232295</v>
      </c>
      <c r="E15" s="37">
        <f>CoulterSurvival!J37</f>
        <v>0.4056013607129876</v>
      </c>
    </row>
    <row r="16" spans="1:5" ht="12.75">
      <c r="A16" s="20">
        <v>4</v>
      </c>
      <c r="B16" s="46">
        <f>MediumActivity!J16</f>
        <v>16.74954589385065</v>
      </c>
      <c r="C16" s="46">
        <f>CellSuspension!J16/(CoulterSurvival!F16*Parameters!$B$14)*1000000</f>
        <v>0.51560665552566</v>
      </c>
      <c r="D16" s="37">
        <f>CoulterSurvival!I38</f>
        <v>0.3163361661945231</v>
      </c>
      <c r="E16" s="37">
        <f>CoulterSurvival!J38</f>
        <v>0.3260581475498935</v>
      </c>
    </row>
    <row r="17" spans="1:5" ht="12.75">
      <c r="A17" s="20">
        <v>5</v>
      </c>
      <c r="B17" s="46">
        <f>MediumActivity!J17</f>
        <v>26.4670639995732</v>
      </c>
      <c r="C17" s="46">
        <f>CellSuspension!J17/(CoulterSurvival!F17*Parameters!$B$14)*1000000</f>
        <v>0.709421973771472</v>
      </c>
      <c r="D17" s="37">
        <f>CoulterSurvival!I39</f>
        <v>0.226628895184136</v>
      </c>
      <c r="E17" s="37">
        <f>CoulterSurvival!J39</f>
        <v>0.24850863077807708</v>
      </c>
    </row>
    <row r="18" spans="1:5" ht="12.75">
      <c r="A18" s="20">
        <v>6</v>
      </c>
      <c r="B18" s="46">
        <f>MediumActivity!J18</f>
        <v>35.380090397045215</v>
      </c>
      <c r="C18" s="46">
        <f>CellSuspension!J18/(CoulterSurvival!F18*Parameters!$B$14)*1000000</f>
        <v>2.8286021863834736</v>
      </c>
      <c r="D18" s="37">
        <f>CoulterSurvival!I40</f>
        <v>0.1746931067044382</v>
      </c>
      <c r="E18" s="37">
        <f>CoulterSurvival!J40</f>
        <v>0.263054478527392</v>
      </c>
    </row>
    <row r="19" spans="1:5" ht="12.75">
      <c r="A19" s="20">
        <v>7</v>
      </c>
      <c r="B19" s="46">
        <f>MediumActivity!J19</f>
        <v>47.25518679691625</v>
      </c>
      <c r="C19" s="46">
        <f>CellSuspension!J19/(CoulterSurvival!F19*Parameters!$B$14)*1000000</f>
        <v>1.2399988445978585</v>
      </c>
      <c r="D19" s="37">
        <f>CoulterSurvival!I41</f>
        <v>0.1605288007554297</v>
      </c>
      <c r="E19" s="37">
        <f>CoulterSurvival!J41</f>
        <v>0.1720166319993188</v>
      </c>
    </row>
    <row r="20" spans="1:5" ht="12.75">
      <c r="A20" s="20">
        <v>8</v>
      </c>
      <c r="B20" s="46">
        <f>MediumActivity!J20</f>
        <v>53.49142393959583</v>
      </c>
      <c r="C20" s="46">
        <f>CellSuspension!J20/(CoulterSurvival!F20*Parameters!$B$14)*1000000</f>
        <v>1.9590995005706011</v>
      </c>
      <c r="D20" s="37">
        <f>CoulterSurvival!I42</f>
        <v>0.21246458923512748</v>
      </c>
      <c r="E20" s="37">
        <f>CoulterSurvival!J42</f>
        <v>0.28211392946818</v>
      </c>
    </row>
    <row r="21" spans="1:5" ht="12.75">
      <c r="A21" s="20">
        <v>9</v>
      </c>
      <c r="B21" s="46">
        <f>MediumActivity!J21</f>
        <v>69.36187720969684</v>
      </c>
      <c r="C21" s="46">
        <f>CellSuspension!J21/(CoulterSurvival!F21*Parameters!$B$14)*1000000</f>
        <v>2.276135638776378</v>
      </c>
      <c r="D21" s="37">
        <f>CoulterSurvival!I43</f>
        <v>0.12039660056657225</v>
      </c>
      <c r="E21" s="37">
        <f>CoulterSurvival!J43</f>
        <v>0.1468277629400341</v>
      </c>
    </row>
    <row r="22" spans="1:5" ht="12.75">
      <c r="A22" s="20">
        <v>10</v>
      </c>
      <c r="B22" s="46">
        <f>MediumActivity!J22</f>
        <v>90.83039459008154</v>
      </c>
      <c r="C22" s="46">
        <f>CellSuspension!J22/(CoulterSurvival!F22*Parameters!$B$14)*1000000</f>
        <v>0.994879870183432</v>
      </c>
      <c r="D22" s="37">
        <f>CoulterSurvival!I44</f>
        <v>0.21718602455146369</v>
      </c>
      <c r="E22" s="37">
        <f>CoulterSurvival!J44</f>
        <v>0.22848016792776002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workbookViewId="0" topLeftCell="J1">
      <selection activeCell="M16" sqref="M16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Feb., 19,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16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  <c r="M13" s="44"/>
      <c r="N13" s="44"/>
      <c r="O13" s="58"/>
      <c r="P13" s="58"/>
    </row>
    <row r="14" spans="1:16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  <c r="M14" s="44"/>
      <c r="N14" s="44"/>
      <c r="O14" s="58"/>
      <c r="P14" s="58"/>
    </row>
    <row r="15" spans="1:16" ht="12.75">
      <c r="A15" s="20">
        <v>3</v>
      </c>
      <c r="B15" s="46">
        <f>MediumActivity!J15</f>
        <v>9.330534771594236</v>
      </c>
      <c r="C15" s="46">
        <f>CellSuspension!J15/(CoulterSurvival!F15*Parameters!$B$14)*1000000</f>
        <v>0.2652433030697683</v>
      </c>
      <c r="D15" s="37">
        <f>CoulterSurvival!I37</f>
        <v>0.3824362606232295</v>
      </c>
      <c r="E15" s="37">
        <f>CoulterSurvival!J37</f>
        <v>0.4056013607129876</v>
      </c>
      <c r="M15" s="46"/>
      <c r="N15" s="46"/>
      <c r="O15" s="37"/>
      <c r="P15" s="37"/>
    </row>
    <row r="16" spans="1:16" ht="12.75">
      <c r="A16" s="20">
        <v>4</v>
      </c>
      <c r="B16" s="46">
        <f>MediumActivity!J16</f>
        <v>16.74954589385065</v>
      </c>
      <c r="C16" s="46">
        <f>CellSuspension!J16/(CoulterSurvival!F16*Parameters!$B$14)*1000000</f>
        <v>0.51560665552566</v>
      </c>
      <c r="D16" s="37">
        <f>CoulterSurvival!I38</f>
        <v>0.3163361661945231</v>
      </c>
      <c r="E16" s="37">
        <f>CoulterSurvival!J38</f>
        <v>0.3260581475498935</v>
      </c>
      <c r="M16" s="46"/>
      <c r="N16" s="46"/>
      <c r="O16" s="37"/>
      <c r="P16" s="37"/>
    </row>
    <row r="17" spans="1:16" ht="12.75">
      <c r="A17" s="20">
        <v>5</v>
      </c>
      <c r="B17" s="46">
        <f>MediumActivity!J17</f>
        <v>26.4670639995732</v>
      </c>
      <c r="C17" s="46">
        <f>CellSuspension!J17/(CoulterSurvival!F17*Parameters!$B$14)*1000000</f>
        <v>0.709421973771472</v>
      </c>
      <c r="D17" s="37">
        <f>CoulterSurvival!I39</f>
        <v>0.226628895184136</v>
      </c>
      <c r="E17" s="37">
        <f>CoulterSurvival!J39</f>
        <v>0.24850863077807708</v>
      </c>
      <c r="M17" s="46"/>
      <c r="N17" s="46"/>
      <c r="O17" s="37"/>
      <c r="P17" s="37"/>
    </row>
    <row r="18" spans="1:17" ht="12.75">
      <c r="A18" s="20">
        <v>6</v>
      </c>
      <c r="B18" s="46">
        <f>MediumActivity!J18</f>
        <v>35.380090397045215</v>
      </c>
      <c r="C18" s="46">
        <f>CellSuspension!J18/(CoulterSurvival!F18*Parameters!$B$14)*1000000</f>
        <v>2.8286021863834736</v>
      </c>
      <c r="D18" s="37">
        <f>CoulterSurvival!I40</f>
        <v>0.1746931067044382</v>
      </c>
      <c r="E18" s="37">
        <f>CoulterSurvival!J40</f>
        <v>0.263054478527392</v>
      </c>
      <c r="N18" s="46"/>
      <c r="O18" s="37"/>
      <c r="P18" s="37"/>
      <c r="Q18" s="46"/>
    </row>
    <row r="19" spans="1:17" ht="12.75">
      <c r="A19" s="20">
        <v>7</v>
      </c>
      <c r="B19" s="46">
        <f>MediumActivity!J19</f>
        <v>47.25518679691625</v>
      </c>
      <c r="C19" s="46">
        <f>CellSuspension!J19/(CoulterSurvival!F19*Parameters!$B$14)*1000000</f>
        <v>1.2399988445978585</v>
      </c>
      <c r="D19" s="37">
        <f>CoulterSurvival!I41</f>
        <v>0.1605288007554297</v>
      </c>
      <c r="E19" s="37">
        <f>CoulterSurvival!J41</f>
        <v>0.1720166319993188</v>
      </c>
      <c r="N19" s="46"/>
      <c r="O19" s="37"/>
      <c r="P19" s="37"/>
      <c r="Q19" s="46"/>
    </row>
    <row r="20" spans="1:17" ht="12.75">
      <c r="A20" s="20">
        <v>8</v>
      </c>
      <c r="B20" s="46">
        <f>MediumActivity!J20</f>
        <v>53.49142393959583</v>
      </c>
      <c r="C20" s="46">
        <f>CellSuspension!J20/(CoulterSurvival!F20*Parameters!$B$14)*1000000</f>
        <v>1.9590995005706011</v>
      </c>
      <c r="D20" s="37">
        <f>CoulterSurvival!I42</f>
        <v>0.21246458923512748</v>
      </c>
      <c r="E20" s="37">
        <f>CoulterSurvival!J42</f>
        <v>0.28211392946818</v>
      </c>
      <c r="N20" s="46"/>
      <c r="O20" s="37"/>
      <c r="P20" s="37"/>
      <c r="Q20" s="46"/>
    </row>
    <row r="21" spans="1:17" ht="12.75">
      <c r="A21" s="20">
        <v>9</v>
      </c>
      <c r="B21" s="46">
        <f>MediumActivity!J21</f>
        <v>69.36187720969684</v>
      </c>
      <c r="C21" s="46">
        <f>CellSuspension!J21/(CoulterSurvival!F21*Parameters!$B$14)*1000000</f>
        <v>2.276135638776378</v>
      </c>
      <c r="D21" s="37">
        <f>CoulterSurvival!I43</f>
        <v>0.12039660056657225</v>
      </c>
      <c r="E21" s="37">
        <f>CoulterSurvival!J43</f>
        <v>0.1468277629400341</v>
      </c>
      <c r="N21" s="46"/>
      <c r="O21" s="37"/>
      <c r="P21" s="37"/>
      <c r="Q21" s="46"/>
    </row>
    <row r="22" spans="1:17" ht="12.75">
      <c r="A22" s="20">
        <v>10</v>
      </c>
      <c r="B22" s="46">
        <f>MediumActivity!J22</f>
        <v>90.83039459008154</v>
      </c>
      <c r="C22" s="46">
        <f>CellSuspension!J22/(CoulterSurvival!F22*Parameters!$B$14)*1000000</f>
        <v>0.994879870183432</v>
      </c>
      <c r="D22" s="37">
        <f>CoulterSurvival!I44</f>
        <v>0.21718602455146369</v>
      </c>
      <c r="E22" s="37">
        <f>CoulterSurvival!J44</f>
        <v>0.22848016792776002</v>
      </c>
      <c r="N22" s="46"/>
      <c r="O22" s="37"/>
      <c r="P22" s="37"/>
      <c r="Q22" s="46"/>
    </row>
    <row r="26" ht="12.75">
      <c r="O26" t="s">
        <v>14</v>
      </c>
    </row>
    <row r="27" spans="14:16" ht="12.75">
      <c r="N27" t="s">
        <v>105</v>
      </c>
      <c r="O27" t="s">
        <v>104</v>
      </c>
      <c r="P27" t="s">
        <v>103</v>
      </c>
    </row>
    <row r="28" ht="12.75">
      <c r="O28" t="s">
        <v>103</v>
      </c>
    </row>
    <row r="29" spans="14:20" ht="12.75">
      <c r="N29" s="44">
        <v>0</v>
      </c>
      <c r="O29" s="58">
        <v>1</v>
      </c>
      <c r="P29" s="58">
        <v>1</v>
      </c>
      <c r="R29">
        <v>0</v>
      </c>
      <c r="S29">
        <v>1</v>
      </c>
      <c r="T29">
        <v>1</v>
      </c>
    </row>
    <row r="30" spans="14:20" ht="12.75">
      <c r="N30" s="46">
        <v>0.2652433030697683</v>
      </c>
      <c r="O30" s="37">
        <v>0.3824362606232295</v>
      </c>
      <c r="P30" s="37">
        <v>0.4056013607129876</v>
      </c>
      <c r="R30">
        <v>0.09329449882622899</v>
      </c>
      <c r="S30">
        <v>1.3173652694610782</v>
      </c>
      <c r="T30">
        <v>0.5613396651360016</v>
      </c>
    </row>
    <row r="31" spans="14:20" ht="12.75">
      <c r="N31" s="46">
        <v>0.51560665552566</v>
      </c>
      <c r="O31" s="37">
        <v>0.3163361661945231</v>
      </c>
      <c r="P31" s="37">
        <v>0.3260581475498935</v>
      </c>
      <c r="R31">
        <v>0.1685743041879649</v>
      </c>
      <c r="S31">
        <v>1.2398731947868966</v>
      </c>
      <c r="T31">
        <v>0.7176729691284042</v>
      </c>
    </row>
    <row r="32" spans="14:20" ht="12.75">
      <c r="N32" s="46">
        <v>0.709421973771472</v>
      </c>
      <c r="O32" s="37">
        <v>0.226628895184136</v>
      </c>
      <c r="P32" s="37">
        <v>0.24850863077807708</v>
      </c>
      <c r="R32">
        <v>0.33955451473620857</v>
      </c>
      <c r="S32">
        <v>0.8876364917224375</v>
      </c>
      <c r="T32">
        <v>0.4775817066819729</v>
      </c>
    </row>
    <row r="33" spans="14:20" ht="12.75">
      <c r="N33" s="46">
        <v>0.994879870183432</v>
      </c>
      <c r="O33" s="37">
        <v>0.21718602455146369</v>
      </c>
      <c r="P33" s="37">
        <v>0.22848016792776002</v>
      </c>
      <c r="R33">
        <v>0.5488083506667514</v>
      </c>
      <c r="S33">
        <v>0.9017259598450157</v>
      </c>
      <c r="T33">
        <v>0.36314608492211065</v>
      </c>
    </row>
    <row r="34" spans="14:20" ht="12.75">
      <c r="N34" s="46">
        <v>1.2399988445978585</v>
      </c>
      <c r="O34" s="37">
        <v>0.1605288007554297</v>
      </c>
      <c r="P34" s="37">
        <v>0.1720166319993188</v>
      </c>
      <c r="R34">
        <v>0.9725994811354925</v>
      </c>
      <c r="S34">
        <v>0.7396970764353646</v>
      </c>
      <c r="T34">
        <v>0.32630252953713706</v>
      </c>
    </row>
    <row r="35" spans="14:20" ht="12.75">
      <c r="N35" s="46">
        <v>1.9590995005706011</v>
      </c>
      <c r="O35" s="37"/>
      <c r="P35" s="37"/>
      <c r="R35">
        <v>1.7421253696023131</v>
      </c>
      <c r="S35">
        <v>0.4600211342021839</v>
      </c>
      <c r="T35">
        <v>0.22035858992948776</v>
      </c>
    </row>
    <row r="36" spans="14:20" ht="12.75">
      <c r="N36" s="46">
        <v>2.276135638776378</v>
      </c>
      <c r="O36" s="37"/>
      <c r="P36" s="37"/>
      <c r="R36">
        <v>1.306260973710764</v>
      </c>
      <c r="S36">
        <v>0.37125748502994005</v>
      </c>
      <c r="T36">
        <v>0.14182815789257802</v>
      </c>
    </row>
    <row r="37" spans="14:20" ht="12.75">
      <c r="N37" s="46">
        <v>2.8286021863834736</v>
      </c>
      <c r="O37" s="37"/>
      <c r="P37" s="37"/>
      <c r="R37">
        <v>2.4813856066072955</v>
      </c>
      <c r="S37">
        <v>0.37125748502994005</v>
      </c>
      <c r="T37">
        <v>0.17648216838504172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2001-04-01T23:07:58Z</cp:lastPrinted>
  <dcterms:created xsi:type="dcterms:W3CDTF">2000-10-11T19:44:58Z</dcterms:created>
  <dcterms:modified xsi:type="dcterms:W3CDTF">2001-04-01T23:08:07Z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