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CoulterSurvival" sheetId="2" r:id="rId2"/>
    <sheet name="MediumActivity" sheetId="3" r:id="rId3"/>
    <sheet name="CellSuspension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<sst xmlns="http://schemas.openxmlformats.org/spreadsheetml/2006/main" count="160" uniqueCount="105">
  <si>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</si>
  <si>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</si>
  <si>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</si>
  <si>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</si>
  <si>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</si>
  <si>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</si>
  <si>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</si>
  <si>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</si>
  <si>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</si>
  <si>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</si>
  <si>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</si>
  <si>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</si>
  <si>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</si>
  <si>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</si>
  <si>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</si>
  <si>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</si>
  <si>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</si>
  <si>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</si>
  <si>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</si>
  <si>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</si>
  <si>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</si>
  <si>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</si>
  <si>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</si>
  <si>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</si>
  <si>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</si>
  <si>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</si>
  <si>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</si>
  <si>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</si>
  <si>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</si>
  <si>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</si>
  <si>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</si>
  <si>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</si>
  <si>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</si>
  <si>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</si>
  <si>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</si>
  <si>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</si>
  <si>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</si>
  <si>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</si>
  <si>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</si>
  <si>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</si>
  <si>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</si>
  <si>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</si>
  <si>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</si>
  <si>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</si>
  <si>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</si>
  <si>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</si>
  <si>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</si>
  <si>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</si>
  <si>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</si>
  <si>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</si>
  <si>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</si>
  <si>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</si>
  <si>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</si>
  <si>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</si>
  <si>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</si>
  <si>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</si>
  <si>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</si>
  <si>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</si>
  <si>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</si>
  <si>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</si>
  <si>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</si>
  <si>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</si>
  <si>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</si>
  <si>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</si>
  <si>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</si>
  <si>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</si>
  <si>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</si>
  <si>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</si>
  <si>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</si>
  <si>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</si>
  <si>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</si>
  <si>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</si>
  <si>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</si>
  <si>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</si>
  <si>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</si>
  <si>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</si>
  <si>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</si>
  <si>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</si>
  <si>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</si>
  <si>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</si>
  <si>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</si>
  <si>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</si>
  <si>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</si>
  <si>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</si>
  <si>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</si>
  <si>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</si>
  <si>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</si>
  <si>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</si>
  <si>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</si>
  <si>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</si>
  <si>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</si>
  <si>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V79</t>
  </si>
  <si>
    <t>none</t>
  </si>
  <si>
    <t>H-3</t>
  </si>
  <si>
    <t>3HTdR</t>
  </si>
  <si>
    <t>NCN/3106-398</t>
  </si>
  <si>
    <t>11/6/00 / 12:00</t>
  </si>
  <si>
    <t>EcoLume</t>
  </si>
  <si>
    <t>7/Plastic vial with cup</t>
  </si>
  <si>
    <t>Beckman LS5000TD</t>
  </si>
  <si>
    <t>Jan., 15, 2001</t>
  </si>
  <si>
    <t>Jan., 15, 2001 / 22:00</t>
  </si>
  <si>
    <t>Jan., 16, 2001 / 14:00</t>
  </si>
  <si>
    <t>Jan., 17, 2001 / 11:54</t>
  </si>
  <si>
    <t>Jan., 19, 2001 / 15:27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</si>
</sst>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4022574"/>
        <c:axId val="36203167"/>
      </c:scatterChart>
      <c:val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At val="0.001"/>
        <c:crossBetween val="midCat"/>
        <c:dispUnits/>
      </c:valAx>
      <c:valAx>
        <c:axId val="362031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crossBetween val="midCat"/>
        <c:dispUnits/>
      </c:val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0.5729166666666666</c:v>
                </c:pt>
                <c:pt idx="3">
                  <c:v>0.6640625</c:v>
                </c:pt>
                <c:pt idx="4">
                  <c:v>0.546875</c:v>
                </c:pt>
                <c:pt idx="5">
                  <c:v>0.6171875</c:v>
                </c:pt>
                <c:pt idx="6">
                  <c:v>0.5078125</c:v>
                </c:pt>
                <c:pt idx="7">
                  <c:v>0.9661458333333335</c:v>
                </c:pt>
                <c:pt idx="8">
                  <c:v>0.66796875</c:v>
                </c:pt>
                <c:pt idx="9">
                  <c:v>0.10182291666666667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0.738306416096235</c:v>
                </c:pt>
                <c:pt idx="3">
                  <c:v>1.03729633449759</c:v>
                </c:pt>
                <c:pt idx="4">
                  <c:v>1.9052815434072665</c:v>
                </c:pt>
                <c:pt idx="5">
                  <c:v>0.7806619976410435</c:v>
                </c:pt>
                <c:pt idx="6">
                  <c:v>0.6946507102500401</c:v>
                </c:pt>
                <c:pt idx="7">
                  <c:v>0.8701837986333417</c:v>
                </c:pt>
                <c:pt idx="8">
                  <c:v>0.8034547538581699</c:v>
                </c:pt>
                <c:pt idx="9">
                  <c:v>0.14262394260490183</c:v>
                </c:pt>
              </c:numCache>
            </c:numRef>
          </c:yVal>
          <c:smooth val="0"/>
        </c:ser>
        <c:axId val="18325282"/>
        <c:axId val="30709811"/>
      </c:scatterChart>
      <c:val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At val="0.001"/>
        <c:crossBetween val="midCat"/>
        <c:dispUnits/>
      </c:valAx>
      <c:valAx>
        <c:axId val="307098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36.61861346720768</c:v>
                </c:pt>
                <c:pt idx="3">
                  <c:v>67.41187521070594</c:v>
                </c:pt>
                <c:pt idx="4">
                  <c:v>124.5560051931087</c:v>
                </c:pt>
                <c:pt idx="5">
                  <c:v>212.51875922716988</c:v>
                </c:pt>
                <c:pt idx="6">
                  <c:v>282.26596157689346</c:v>
                </c:pt>
                <c:pt idx="7">
                  <c:v>400.24714459167205</c:v>
                </c:pt>
                <c:pt idx="8">
                  <c:v>518.3899054573138</c:v>
                </c:pt>
                <c:pt idx="9">
                  <c:v>477.9244852726443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1.994256368356608</c:v>
                </c:pt>
                <c:pt idx="3">
                  <c:v>4.6719401215847425</c:v>
                </c:pt>
                <c:pt idx="4">
                  <c:v>15.700187807319951</c:v>
                </c:pt>
                <c:pt idx="5">
                  <c:v>15.177282939422652</c:v>
                </c:pt>
                <c:pt idx="6">
                  <c:v>12.042897519449706</c:v>
                </c:pt>
                <c:pt idx="7">
                  <c:v>16.94071976942361</c:v>
                </c:pt>
                <c:pt idx="8">
                  <c:v>28.383810880896238</c:v>
                </c:pt>
                <c:pt idx="9">
                  <c:v>55.467136147375854</c:v>
                </c:pt>
              </c:numCache>
            </c:numRef>
          </c:yVal>
          <c:smooth val="0"/>
        </c:ser>
        <c:axId val="7952844"/>
        <c:axId val="4466733"/>
      </c:scatterChart>
      <c:val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crossBetween val="midCat"/>
        <c:dispUnits/>
      </c:val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7952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B36" sqref="B3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100</v>
      </c>
    </row>
    <row r="2" ht="12.75">
      <c r="B2" s="61"/>
    </row>
    <row r="3" spans="1:2" ht="12.75">
      <c r="A3" s="24" t="s">
        <v>15</v>
      </c>
      <c r="B3" s="48" t="s">
        <v>100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 t="s">
        <v>96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100</v>
      </c>
      <c r="C13" s="20" t="s">
        <v>89</v>
      </c>
      <c r="D13" s="57">
        <v>65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36.631514196573235</v>
      </c>
    </row>
    <row r="15" ht="12.75">
      <c r="B15" s="61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101</v>
      </c>
    </row>
    <row r="23" spans="1:4" ht="12.75">
      <c r="A23" s="24" t="s">
        <v>24</v>
      </c>
      <c r="B23" s="48" t="s">
        <v>102</v>
      </c>
      <c r="C23" s="20" t="s">
        <v>29</v>
      </c>
      <c r="D23" s="27">
        <v>16</v>
      </c>
    </row>
    <row r="24" spans="1:4" ht="12.75">
      <c r="A24" s="24" t="s">
        <v>69</v>
      </c>
      <c r="B24" s="48" t="s">
        <v>103</v>
      </c>
      <c r="C24" s="20" t="s">
        <v>30</v>
      </c>
      <c r="D24" s="27">
        <v>38</v>
      </c>
    </row>
    <row r="25" spans="1:4" ht="12.75">
      <c r="A25" s="24" t="s">
        <v>70</v>
      </c>
      <c r="B25" s="48" t="s">
        <v>104</v>
      </c>
      <c r="C25" s="20" t="s">
        <v>71</v>
      </c>
      <c r="D25" s="27">
        <v>73.5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13</v>
      </c>
      <c r="E32" s="54">
        <v>13</v>
      </c>
      <c r="F32" s="55">
        <v>13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8">
      <selection activeCell="F43" sqref="F43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Jan., 15,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Jan., 15,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8671</v>
      </c>
      <c r="C13" s="28">
        <v>8454</v>
      </c>
      <c r="D13" s="28">
        <v>8777</v>
      </c>
      <c r="E13" s="34">
        <f>IF(Parameters!$B$33="Yes",AVERAGE(G13:J13),AVERAGE(B13:D13))</f>
        <v>8634</v>
      </c>
      <c r="F13" s="34">
        <f>IF(Parameters!$B$33="Yes",E13*10000,(E13-Parameters!$B$31)*Parameters!$B$32*(100/Parameters!$B$29)*(500/Parameters!$B$30))</f>
        <v>3448400</v>
      </c>
      <c r="G13" s="26"/>
      <c r="H13" s="26"/>
      <c r="I13" s="26"/>
      <c r="J13" s="26"/>
    </row>
    <row r="14" spans="1:10" ht="12.75">
      <c r="A14" s="63">
        <v>2</v>
      </c>
      <c r="B14" s="28">
        <v>8598</v>
      </c>
      <c r="C14" s="28">
        <v>8337</v>
      </c>
      <c r="D14" s="28">
        <v>8448</v>
      </c>
      <c r="E14" s="34">
        <f>IF(Parameters!$B$33="Yes",AVERAGE(G14:J14),AVERAGE(B14:D14))</f>
        <v>8461</v>
      </c>
      <c r="F14" s="34">
        <f>IF(Parameters!$B$33="Yes",E14*10000,(E14-Parameters!$B$31)*Parameters!$B$32*(100/Parameters!$B$29)*(500/Parameters!$B$30))</f>
        <v>3379200</v>
      </c>
      <c r="G14" s="26"/>
      <c r="H14" s="26"/>
      <c r="I14" s="26"/>
      <c r="J14" s="26"/>
    </row>
    <row r="15" spans="1:10" ht="12.75">
      <c r="A15" s="62">
        <v>3</v>
      </c>
      <c r="B15" s="29">
        <v>6693</v>
      </c>
      <c r="C15" s="29">
        <v>6596</v>
      </c>
      <c r="D15" s="29">
        <v>6618</v>
      </c>
      <c r="E15" s="35">
        <f>IF(Parameters!$B$33="Yes",AVERAGE(G15:J15),AVERAGE(B15:D15))</f>
        <v>6635.666666666667</v>
      </c>
      <c r="F15" s="35">
        <f>IF(Parameters!$B$33="Yes",E15*10000,(E15-Parameters!$B$31)*Parameters!$B$32*(100/Parameters!$B$29)*(500/Parameters!$B$30))</f>
        <v>2649066.666666667</v>
      </c>
      <c r="G15" s="26"/>
      <c r="H15" s="26"/>
      <c r="I15" s="26"/>
      <c r="J15" s="26"/>
    </row>
    <row r="16" spans="1:10" ht="12.75">
      <c r="A16" s="62">
        <v>4</v>
      </c>
      <c r="B16" s="29">
        <v>5301</v>
      </c>
      <c r="C16" s="29">
        <v>5609</v>
      </c>
      <c r="D16" s="29">
        <v>5520</v>
      </c>
      <c r="E16" s="35">
        <f>IF(Parameters!$B$33="Yes",AVERAGE(G16:J16),AVERAGE(B16:D16))</f>
        <v>5476.666666666667</v>
      </c>
      <c r="F16" s="35">
        <f>IF(Parameters!$B$33="Yes",E16*10000,(E16-Parameters!$B$31)*Parameters!$B$32*(100/Parameters!$B$29)*(500/Parameters!$B$30))</f>
        <v>2185466.666666667</v>
      </c>
      <c r="G16" s="26"/>
      <c r="H16" s="26"/>
      <c r="I16" s="26"/>
      <c r="J16" s="26"/>
    </row>
    <row r="17" spans="1:10" ht="12.75">
      <c r="A17" s="62">
        <v>5</v>
      </c>
      <c r="B17" s="29">
        <v>2225</v>
      </c>
      <c r="C17" s="29">
        <v>2699</v>
      </c>
      <c r="D17" s="29">
        <v>2464</v>
      </c>
      <c r="E17" s="35">
        <f>IF(Parameters!$B$33="Yes",AVERAGE(G17:J17),AVERAGE(B17:D17))</f>
        <v>2462.6666666666665</v>
      </c>
      <c r="F17" s="35">
        <f>IF(Parameters!$B$33="Yes",E17*10000,(E17-Parameters!$B$31)*Parameters!$B$32*(100/Parameters!$B$29)*(500/Parameters!$B$30))</f>
        <v>979866.6666666666</v>
      </c>
      <c r="G17" s="26"/>
      <c r="H17" s="26"/>
      <c r="I17" s="26"/>
      <c r="J17" s="26"/>
    </row>
    <row r="18" spans="1:10" ht="12.75">
      <c r="A18" s="62">
        <v>6</v>
      </c>
      <c r="B18" s="29">
        <v>6458</v>
      </c>
      <c r="C18" s="29">
        <v>6859</v>
      </c>
      <c r="D18" s="29">
        <v>6964</v>
      </c>
      <c r="E18" s="35">
        <f>IF(Parameters!$B$33="Yes",AVERAGE(G18:J18),AVERAGE(B18:D18))</f>
        <v>6760.333333333333</v>
      </c>
      <c r="F18" s="35">
        <f>IF(Parameters!$B$33="Yes",E18*10000,(E18-Parameters!$B$31)*Parameters!$B$32*(100/Parameters!$B$29)*(500/Parameters!$B$30))</f>
        <v>2698933.333333333</v>
      </c>
      <c r="G18" s="26"/>
      <c r="H18" s="26"/>
      <c r="I18" s="26"/>
      <c r="J18" s="26"/>
    </row>
    <row r="19" spans="1:10" ht="12.75">
      <c r="A19" s="62">
        <v>7</v>
      </c>
      <c r="B19" s="29">
        <v>6002</v>
      </c>
      <c r="C19" s="29">
        <v>6437</v>
      </c>
      <c r="D19" s="29">
        <v>6317</v>
      </c>
      <c r="E19" s="35">
        <f>IF(Parameters!$B$33="Yes",AVERAGE(G19:J19),AVERAGE(B19:D19))</f>
        <v>6252</v>
      </c>
      <c r="F19" s="35">
        <f>IF(Parameters!$B$33="Yes",E19*10000,(E19-Parameters!$B$31)*Parameters!$B$32*(100/Parameters!$B$29)*(500/Parameters!$B$30))</f>
        <v>2495600</v>
      </c>
      <c r="G19" s="26"/>
      <c r="H19" s="26"/>
      <c r="I19" s="26"/>
      <c r="J19" s="26"/>
    </row>
    <row r="20" spans="1:10" ht="12.75">
      <c r="A20" s="62">
        <v>8</v>
      </c>
      <c r="B20" s="29">
        <v>9216</v>
      </c>
      <c r="C20" s="29">
        <v>9905</v>
      </c>
      <c r="D20" s="29">
        <v>9345</v>
      </c>
      <c r="E20" s="35">
        <f>IF(Parameters!$B$33="Yes",AVERAGE(G20:J20),AVERAGE(B20:D20))</f>
        <v>9488.666666666666</v>
      </c>
      <c r="F20" s="35">
        <f>IF(Parameters!$B$33="Yes",E20*10000,(E20-Parameters!$B$31)*Parameters!$B$32*(100/Parameters!$B$29)*(500/Parameters!$B$30))</f>
        <v>3790266.6666666665</v>
      </c>
      <c r="G20" s="26"/>
      <c r="H20" s="26"/>
      <c r="I20" s="26"/>
      <c r="J20" s="26"/>
    </row>
    <row r="21" spans="1:10" ht="12.75">
      <c r="A21" s="62">
        <v>9</v>
      </c>
      <c r="B21" s="29">
        <v>7031</v>
      </c>
      <c r="C21" s="29">
        <v>7112</v>
      </c>
      <c r="D21" s="29">
        <v>7182</v>
      </c>
      <c r="E21" s="35">
        <f>IF(Parameters!$B$33="Yes",AVERAGE(G21:J21),AVERAGE(B21:D21))</f>
        <v>7108.333333333333</v>
      </c>
      <c r="F21" s="35">
        <f>IF(Parameters!$B$33="Yes",E21*10000,(E21-Parameters!$B$31)*Parameters!$B$32*(100/Parameters!$B$29)*(500/Parameters!$B$30))</f>
        <v>2838133.333333333</v>
      </c>
      <c r="G21" s="26"/>
      <c r="H21" s="26"/>
      <c r="I21" s="26"/>
      <c r="J21" s="26"/>
    </row>
    <row r="22" spans="1:10" ht="12.75">
      <c r="A22" s="62">
        <v>10</v>
      </c>
      <c r="B22" s="29">
        <v>6309</v>
      </c>
      <c r="C22" s="29">
        <v>6002</v>
      </c>
      <c r="D22" s="29">
        <v>6007</v>
      </c>
      <c r="E22" s="35">
        <f>IF(Parameters!$B$33="Yes",AVERAGE(G22:J22),AVERAGE(B22:D22))</f>
        <v>6106</v>
      </c>
      <c r="F22" s="35">
        <f>IF(Parameters!$B$33="Yes",E22*10000,(E22-Parameters!$B$31)*Parameters!$B$32*(100/Parameters!$B$29)*(500/Parameters!$B$30))</f>
        <v>2437200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344.84</v>
      </c>
      <c r="D35" s="28">
        <v>121</v>
      </c>
      <c r="E35" s="28">
        <v>75</v>
      </c>
      <c r="F35" s="28">
        <v>133</v>
      </c>
      <c r="G35" s="34">
        <f>AVERAGE(D35:F36)</f>
        <v>128</v>
      </c>
      <c r="H35" s="44">
        <f>G35/AVERAGE($C$35,$C$36)*100</f>
        <v>37.4948737477298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337.92</v>
      </c>
      <c r="D36" s="28">
        <v>159</v>
      </c>
      <c r="E36" s="28">
        <v>136</v>
      </c>
      <c r="F36" s="28">
        <v>144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264.9066666666667</v>
      </c>
      <c r="D37" s="29">
        <v>87</v>
      </c>
      <c r="E37" s="29">
        <v>81</v>
      </c>
      <c r="F37" s="29">
        <v>52</v>
      </c>
      <c r="G37" s="35">
        <f aca="true" t="shared" si="1" ref="G37:G44">AVERAGE(D37:F37)</f>
        <v>73.33333333333333</v>
      </c>
      <c r="H37" s="46">
        <f aca="true" t="shared" si="2" ref="H37:H44">G37/C37*100</f>
        <v>27.6827058586672</v>
      </c>
      <c r="I37" s="37">
        <f aca="true" t="shared" si="3" ref="I37:I44">G37*200/B37/$G$35</f>
        <v>0.5729166666666666</v>
      </c>
      <c r="J37" s="37">
        <f>(G37/C37)/($G$35/AVERAGE($C$35,$C$36))</f>
        <v>0.738306416096235</v>
      </c>
    </row>
    <row r="38" spans="1:10" ht="12.75">
      <c r="A38" s="62">
        <v>4</v>
      </c>
      <c r="B38" s="26">
        <v>200</v>
      </c>
      <c r="C38" s="35">
        <f t="shared" si="0"/>
        <v>218.5466666666667</v>
      </c>
      <c r="D38" s="29">
        <v>83</v>
      </c>
      <c r="E38" s="29">
        <v>85</v>
      </c>
      <c r="F38" s="29">
        <v>87</v>
      </c>
      <c r="G38" s="35">
        <f t="shared" si="1"/>
        <v>85</v>
      </c>
      <c r="H38" s="46">
        <f t="shared" si="2"/>
        <v>38.893295100970036</v>
      </c>
      <c r="I38" s="37">
        <f t="shared" si="3"/>
        <v>0.6640625</v>
      </c>
      <c r="J38" s="37">
        <f aca="true" t="shared" si="4" ref="J38:J44">(G38/C38)/($G$35/AVERAGE($C$35,$C$36))</f>
        <v>1.03729633449759</v>
      </c>
    </row>
    <row r="39" spans="1:10" ht="12.75">
      <c r="A39" s="62">
        <v>5</v>
      </c>
      <c r="B39" s="26">
        <v>200</v>
      </c>
      <c r="C39" s="35">
        <f t="shared" si="0"/>
        <v>97.98666666666666</v>
      </c>
      <c r="D39" s="29">
        <v>70</v>
      </c>
      <c r="E39" s="29"/>
      <c r="F39" s="29"/>
      <c r="G39" s="35">
        <f t="shared" si="1"/>
        <v>70</v>
      </c>
      <c r="H39" s="46">
        <f t="shared" si="2"/>
        <v>71.43829092393523</v>
      </c>
      <c r="I39" s="37">
        <f t="shared" si="3"/>
        <v>0.546875</v>
      </c>
      <c r="J39" s="37">
        <f t="shared" si="4"/>
        <v>1.9052815434072665</v>
      </c>
    </row>
    <row r="40" spans="1:10" ht="12.75">
      <c r="A40" s="62">
        <v>6</v>
      </c>
      <c r="B40" s="26">
        <v>200</v>
      </c>
      <c r="C40" s="35">
        <f t="shared" si="0"/>
        <v>269.8933333333333</v>
      </c>
      <c r="D40" s="29">
        <v>80</v>
      </c>
      <c r="E40" s="29">
        <v>78</v>
      </c>
      <c r="F40" s="29"/>
      <c r="G40" s="35">
        <f t="shared" si="1"/>
        <v>79</v>
      </c>
      <c r="H40" s="46">
        <f t="shared" si="2"/>
        <v>29.270823041201467</v>
      </c>
      <c r="I40" s="37">
        <f t="shared" si="3"/>
        <v>0.6171875</v>
      </c>
      <c r="J40" s="37">
        <f t="shared" si="4"/>
        <v>0.7806619976410435</v>
      </c>
    </row>
    <row r="41" spans="1:10" ht="12.75">
      <c r="A41" s="62">
        <v>7</v>
      </c>
      <c r="B41" s="26">
        <v>200</v>
      </c>
      <c r="C41" s="35">
        <f t="shared" si="0"/>
        <v>249.56</v>
      </c>
      <c r="D41" s="29">
        <v>55</v>
      </c>
      <c r="E41" s="29">
        <v>70</v>
      </c>
      <c r="F41" s="29">
        <v>70</v>
      </c>
      <c r="G41" s="35">
        <f t="shared" si="1"/>
        <v>65</v>
      </c>
      <c r="H41" s="46">
        <f t="shared" si="2"/>
        <v>26.04584067959609</v>
      </c>
      <c r="I41" s="37">
        <f t="shared" si="3"/>
        <v>0.5078125</v>
      </c>
      <c r="J41" s="37">
        <f t="shared" si="4"/>
        <v>0.6946507102500401</v>
      </c>
    </row>
    <row r="42" spans="1:10" ht="12.75">
      <c r="A42" s="62">
        <v>8</v>
      </c>
      <c r="B42" s="26">
        <v>200</v>
      </c>
      <c r="C42" s="35">
        <f t="shared" si="0"/>
        <v>379.02666666666664</v>
      </c>
      <c r="D42" s="29">
        <v>118</v>
      </c>
      <c r="E42" s="29">
        <v>118</v>
      </c>
      <c r="F42" s="29">
        <v>135</v>
      </c>
      <c r="G42" s="35">
        <f t="shared" si="1"/>
        <v>123.66666666666667</v>
      </c>
      <c r="H42" s="46">
        <f t="shared" si="2"/>
        <v>32.627431667077076</v>
      </c>
      <c r="I42" s="37">
        <f t="shared" si="3"/>
        <v>0.9661458333333335</v>
      </c>
      <c r="J42" s="37">
        <f t="shared" si="4"/>
        <v>0.8701837986333417</v>
      </c>
    </row>
    <row r="43" spans="1:10" ht="12.75">
      <c r="A43" s="62">
        <v>9</v>
      </c>
      <c r="B43" s="26">
        <v>200</v>
      </c>
      <c r="C43" s="35">
        <f t="shared" si="0"/>
        <v>283.8133333333333</v>
      </c>
      <c r="D43" s="29">
        <v>81</v>
      </c>
      <c r="E43" s="29">
        <v>90</v>
      </c>
      <c r="F43" s="29"/>
      <c r="G43" s="35">
        <f t="shared" si="1"/>
        <v>85.5</v>
      </c>
      <c r="H43" s="46">
        <f t="shared" si="2"/>
        <v>30.125434557925402</v>
      </c>
      <c r="I43" s="37">
        <f t="shared" si="3"/>
        <v>0.66796875</v>
      </c>
      <c r="J43" s="37">
        <f t="shared" si="4"/>
        <v>0.8034547538581699</v>
      </c>
    </row>
    <row r="44" spans="1:10" ht="12.75">
      <c r="A44" s="62">
        <v>10</v>
      </c>
      <c r="B44" s="26">
        <v>2000</v>
      </c>
      <c r="C44" s="35">
        <f t="shared" si="0"/>
        <v>2437.2</v>
      </c>
      <c r="D44" s="29">
        <v>131</v>
      </c>
      <c r="E44" s="29">
        <v>123</v>
      </c>
      <c r="F44" s="29">
        <v>137</v>
      </c>
      <c r="G44" s="35">
        <f t="shared" si="1"/>
        <v>130.33333333333334</v>
      </c>
      <c r="H44" s="46">
        <f t="shared" si="2"/>
        <v>5.347666721374256</v>
      </c>
      <c r="I44" s="37">
        <f t="shared" si="3"/>
        <v>0.10182291666666667</v>
      </c>
      <c r="J44" s="37">
        <f t="shared" si="4"/>
        <v>0.14262394260490183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45" sqref="D45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Jan., 15,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Jan., 15,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15</v>
      </c>
      <c r="C13" s="28">
        <v>15</v>
      </c>
      <c r="D13" s="28">
        <v>17</v>
      </c>
      <c r="E13" s="34">
        <f>AVERAGE(B13:D13,B14:D14)</f>
        <v>16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14</v>
      </c>
      <c r="C14" s="28">
        <v>24</v>
      </c>
      <c r="D14" s="28">
        <v>11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42436</v>
      </c>
      <c r="C15" s="29">
        <v>43944</v>
      </c>
      <c r="D15" s="29">
        <v>42168</v>
      </c>
      <c r="E15" s="35">
        <f>AVERAGE(B15:D15)</f>
        <v>42849.333333333336</v>
      </c>
      <c r="F15" s="36">
        <f>(E15-E13)</f>
        <v>42833.333333333336</v>
      </c>
      <c r="G15" s="35">
        <f>F15/(Parameters!$B$9*Parameters!$B$20)</f>
        <v>65897.4358974359</v>
      </c>
      <c r="H15" s="37">
        <f>G15/(37000*60*Parameters!$B$26/1000)</f>
        <v>0.9894509894509895</v>
      </c>
      <c r="I15" s="37">
        <f>H15/EXP(-0.693*Parameters!$D$24/(Parameters!$B$8*24))</f>
        <v>0.9896922558704778</v>
      </c>
      <c r="J15" s="37">
        <f>I15*37</f>
        <v>36.61861346720768</v>
      </c>
      <c r="O15" s="2"/>
      <c r="P15" s="9"/>
      <c r="Q15" s="2"/>
      <c r="R15" s="1"/>
    </row>
    <row r="16" spans="1:18" ht="12.75">
      <c r="A16" s="20">
        <v>4</v>
      </c>
      <c r="B16" s="29">
        <v>83786</v>
      </c>
      <c r="C16" s="29">
        <v>71187</v>
      </c>
      <c r="D16" s="29">
        <v>81633</v>
      </c>
      <c r="E16" s="35">
        <f aca="true" t="shared" si="0" ref="E16:E22">AVERAGE(B16:D16)</f>
        <v>78868.66666666667</v>
      </c>
      <c r="F16" s="36">
        <f>E16-E13</f>
        <v>78852.66666666667</v>
      </c>
      <c r="G16" s="35">
        <f>F16/(Parameters!$B$9*Parameters!$B$20)</f>
        <v>121311.79487179487</v>
      </c>
      <c r="H16" s="37">
        <f>G16/(37000*60*Parameters!$B$26/1000)</f>
        <v>1.8214984214984216</v>
      </c>
      <c r="I16" s="37">
        <f>H16/EXP(-0.693*Parameters!$D$24/(Parameters!$B$8*24))</f>
        <v>1.8219425732623227</v>
      </c>
      <c r="J16" s="37">
        <f aca="true" t="shared" si="1" ref="J16:J22">I16*37</f>
        <v>67.41187521070594</v>
      </c>
      <c r="O16" s="2"/>
      <c r="P16" s="9"/>
      <c r="Q16" s="2"/>
      <c r="R16" s="1"/>
    </row>
    <row r="17" spans="1:18" ht="12.75">
      <c r="A17" s="20">
        <v>5</v>
      </c>
      <c r="B17" s="29">
        <v>146740</v>
      </c>
      <c r="C17" s="29">
        <v>142060</v>
      </c>
      <c r="D17" s="29">
        <v>148333</v>
      </c>
      <c r="E17" s="35">
        <f t="shared" si="0"/>
        <v>145711</v>
      </c>
      <c r="F17" s="36">
        <f>E17-E13</f>
        <v>145695</v>
      </c>
      <c r="G17" s="35">
        <f>F17/(Parameters!$B$9*Parameters!$B$20)</f>
        <v>224146.15384615384</v>
      </c>
      <c r="H17" s="37">
        <f>G17/(37000*60*Parameters!$B$26/1000)</f>
        <v>3.3655578655578657</v>
      </c>
      <c r="I17" s="37">
        <f>H17/EXP(-0.693*Parameters!$D$24/(Parameters!$B$8*24))</f>
        <v>3.3663785187326676</v>
      </c>
      <c r="J17" s="37">
        <f t="shared" si="1"/>
        <v>124.5560051931087</v>
      </c>
      <c r="O17" s="2"/>
      <c r="P17" s="9"/>
      <c r="Q17" s="2"/>
      <c r="R17" s="1"/>
    </row>
    <row r="18" spans="1:18" ht="12.75">
      <c r="A18" s="20">
        <v>6</v>
      </c>
      <c r="B18" s="29">
        <v>311167</v>
      </c>
      <c r="C18" s="29">
        <v>231130</v>
      </c>
      <c r="D18" s="29">
        <v>203510</v>
      </c>
      <c r="E18" s="35">
        <f t="shared" si="0"/>
        <v>248602.33333333334</v>
      </c>
      <c r="F18" s="36">
        <f>E18-E13</f>
        <v>248586.33333333334</v>
      </c>
      <c r="G18" s="35">
        <f>F18/(Parameters!$B$9*Parameters!$B$20)</f>
        <v>382440.5128205128</v>
      </c>
      <c r="H18" s="37">
        <f>G18/(37000*60*Parameters!$B$26/1000)</f>
        <v>5.742350042350043</v>
      </c>
      <c r="I18" s="37">
        <f>H18/EXP(-0.693*Parameters!$D$24/(Parameters!$B$8*24))</f>
        <v>5.74375024938297</v>
      </c>
      <c r="J18" s="37">
        <f t="shared" si="1"/>
        <v>212.51875922716988</v>
      </c>
      <c r="O18" s="2"/>
      <c r="P18" s="9"/>
      <c r="Q18" s="2"/>
      <c r="R18" s="1"/>
    </row>
    <row r="19" spans="1:18" ht="12.75">
      <c r="A19" s="20">
        <v>7</v>
      </c>
      <c r="B19" s="29">
        <v>348780</v>
      </c>
      <c r="C19" s="29">
        <v>322447</v>
      </c>
      <c r="D19" s="29">
        <v>319333</v>
      </c>
      <c r="E19" s="35">
        <f t="shared" si="0"/>
        <v>330186.6666666667</v>
      </c>
      <c r="F19" s="36">
        <f>E19-E13</f>
        <v>330170.6666666667</v>
      </c>
      <c r="G19" s="35">
        <f>F19/(Parameters!$B$9*Parameters!$B$20)</f>
        <v>507954.8717948718</v>
      </c>
      <c r="H19" s="37">
        <f>G19/(37000*60*Parameters!$B$26/1000)</f>
        <v>7.626950026950027</v>
      </c>
      <c r="I19" s="37">
        <f>H19/EXP(-0.693*Parameters!$D$24/(Parameters!$B$8*24))</f>
        <v>7.628809772348472</v>
      </c>
      <c r="J19" s="37">
        <f t="shared" si="1"/>
        <v>282.26596157689346</v>
      </c>
      <c r="O19" s="2"/>
      <c r="P19" s="9"/>
      <c r="Q19" s="2"/>
      <c r="R19" s="1"/>
    </row>
    <row r="20" spans="1:18" ht="12.75">
      <c r="A20" s="20">
        <v>8</v>
      </c>
      <c r="B20" s="29">
        <v>642060</v>
      </c>
      <c r="C20" s="29">
        <v>381993</v>
      </c>
      <c r="D20" s="29">
        <v>380520</v>
      </c>
      <c r="E20" s="35">
        <f t="shared" si="0"/>
        <v>468191</v>
      </c>
      <c r="F20" s="36">
        <f>E20-E13</f>
        <v>468175</v>
      </c>
      <c r="G20" s="35">
        <f>F20/(Parameters!$B$9*Parameters!$B$20)</f>
        <v>720269.2307692308</v>
      </c>
      <c r="H20" s="37">
        <f>G20/(37000*60*Parameters!$B$26/1000)</f>
        <v>10.814853314853314</v>
      </c>
      <c r="I20" s="37">
        <f>H20/EXP(-0.693*Parameters!$D$24/(Parameters!$B$8*24))</f>
        <v>10.817490394369514</v>
      </c>
      <c r="J20" s="37">
        <f t="shared" si="1"/>
        <v>400.24714459167205</v>
      </c>
      <c r="O20" s="2"/>
      <c r="P20" s="9"/>
      <c r="Q20" s="2"/>
      <c r="R20" s="1"/>
    </row>
    <row r="21" spans="1:18" ht="12.75">
      <c r="A21" s="20">
        <v>9</v>
      </c>
      <c r="B21" s="29">
        <v>538280</v>
      </c>
      <c r="C21" s="29">
        <v>787693</v>
      </c>
      <c r="D21" s="29">
        <v>493180</v>
      </c>
      <c r="E21" s="35">
        <f t="shared" si="0"/>
        <v>606384.3333333334</v>
      </c>
      <c r="F21" s="36">
        <f>E21-E13</f>
        <v>606368.3333333334</v>
      </c>
      <c r="G21" s="35">
        <f>F21/(Parameters!$B$9*Parameters!$B$20)</f>
        <v>932874.358974359</v>
      </c>
      <c r="H21" s="37">
        <f>G21/(37000*60*Parameters!$B$26/1000)</f>
        <v>14.007122507122508</v>
      </c>
      <c r="I21" s="37">
        <f>H21/EXP(-0.693*Parameters!$D$24/(Parameters!$B$8*24))</f>
        <v>14.010537985332805</v>
      </c>
      <c r="J21" s="37">
        <f t="shared" si="1"/>
        <v>518.3899054573138</v>
      </c>
      <c r="O21" s="2"/>
      <c r="P21" s="9"/>
      <c r="Q21" s="2"/>
      <c r="R21" s="1"/>
    </row>
    <row r="22" spans="1:18" ht="12.75">
      <c r="A22" s="20">
        <v>10</v>
      </c>
      <c r="B22" s="29">
        <v>539407</v>
      </c>
      <c r="C22" s="29">
        <v>560080</v>
      </c>
      <c r="D22" s="29">
        <v>577667</v>
      </c>
      <c r="E22" s="35">
        <f t="shared" si="0"/>
        <v>559051.3333333334</v>
      </c>
      <c r="F22" s="36">
        <f>E22-E13</f>
        <v>559035.3333333334</v>
      </c>
      <c r="G22" s="35">
        <f>F22/(Parameters!$B$9*Parameters!$B$20)</f>
        <v>860054.358974359</v>
      </c>
      <c r="H22" s="37">
        <f>G22/(37000*60*Parameters!$B$26/1000)</f>
        <v>12.913729113729113</v>
      </c>
      <c r="I22" s="37">
        <f>H22/EXP(-0.693*Parameters!$D$24/(Parameters!$B$8*24))</f>
        <v>12.916877980341738</v>
      </c>
      <c r="J22" s="37">
        <f t="shared" si="1"/>
        <v>477.9244852726443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24" sqref="F24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Jan., 15,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Jan., 15,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9</v>
      </c>
      <c r="D13" s="28">
        <v>9</v>
      </c>
      <c r="E13" s="34">
        <f>AVERAGE(B13:D14)</f>
        <v>9.833333333333334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14</v>
      </c>
      <c r="C14" s="28">
        <v>7</v>
      </c>
      <c r="D14" s="28">
        <v>7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10044</v>
      </c>
      <c r="C15" s="29">
        <v>11344</v>
      </c>
      <c r="D15" s="29">
        <v>9532</v>
      </c>
      <c r="E15" s="35">
        <f aca="true" t="shared" si="1" ref="E15:E22">AVERAGE(B15:D15)</f>
        <v>10306.666666666666</v>
      </c>
      <c r="F15" s="35">
        <f>E15-$E$13</f>
        <v>10296.833333333332</v>
      </c>
      <c r="G15" s="35">
        <f>F15/(Parameters!$B$9*Parameters!$B$20)</f>
        <v>15841.282051282049</v>
      </c>
      <c r="H15" s="42">
        <f>G15/(37000*60*Parameters!$B$27/1000)</f>
        <v>0.07135712635712635</v>
      </c>
      <c r="I15" s="42">
        <f>H15/EXP(-0.693*(Parameters!$D$25)/(Parameters!$B$8*24))</f>
        <v>0.07139078473244881</v>
      </c>
      <c r="J15" s="37">
        <f t="shared" si="0"/>
        <v>2.6414590351006058</v>
      </c>
    </row>
    <row r="16" spans="1:10" ht="12.75">
      <c r="A16" s="20">
        <v>4</v>
      </c>
      <c r="B16" s="29">
        <v>18057</v>
      </c>
      <c r="C16" s="29">
        <v>21908</v>
      </c>
      <c r="D16" s="29">
        <v>19767</v>
      </c>
      <c r="E16" s="35">
        <f t="shared" si="1"/>
        <v>19910.666666666668</v>
      </c>
      <c r="F16" s="35">
        <f aca="true" t="shared" si="2" ref="F16:F22">E16-$E$13</f>
        <v>19900.833333333336</v>
      </c>
      <c r="G16" s="35">
        <f>F16/(Parameters!$B$9*Parameters!$B$20)</f>
        <v>30616.666666666668</v>
      </c>
      <c r="H16" s="42">
        <f>G16/(37000*60*Parameters!$B$27/1000)</f>
        <v>0.1379129129129129</v>
      </c>
      <c r="I16" s="42">
        <f>H16/EXP(-0.693*(Parameters!$D$25)/(Parameters!$B$8*24))</f>
        <v>0.13797796492413608</v>
      </c>
      <c r="J16" s="37">
        <f t="shared" si="0"/>
        <v>5.105184702193035</v>
      </c>
    </row>
    <row r="17" spans="1:10" ht="12.75">
      <c r="A17" s="20">
        <v>5</v>
      </c>
      <c r="B17" s="29">
        <v>31737</v>
      </c>
      <c r="C17" s="29">
        <v>30897</v>
      </c>
      <c r="D17" s="29">
        <v>27350</v>
      </c>
      <c r="E17" s="35">
        <f t="shared" si="1"/>
        <v>29994.666666666668</v>
      </c>
      <c r="F17" s="35">
        <f t="shared" si="2"/>
        <v>29984.833333333336</v>
      </c>
      <c r="G17" s="35">
        <f>F17/(Parameters!$B$9*Parameters!$B$20)</f>
        <v>46130.51282051282</v>
      </c>
      <c r="H17" s="42">
        <f>G17/(37000*60*Parameters!$B$27/1000)</f>
        <v>0.2077951027951028</v>
      </c>
      <c r="I17" s="42">
        <f>H17/EXP(-0.693*(Parameters!$D$25)/(Parameters!$B$8*24))</f>
        <v>0.20789311747026</v>
      </c>
      <c r="J17" s="37">
        <f t="shared" si="0"/>
        <v>7.69204534639962</v>
      </c>
    </row>
    <row r="18" spans="1:10" ht="12.75">
      <c r="A18" s="20">
        <v>6</v>
      </c>
      <c r="B18" s="29">
        <v>85647</v>
      </c>
      <c r="C18" s="29">
        <v>78100</v>
      </c>
      <c r="D18" s="29">
        <v>75800</v>
      </c>
      <c r="E18" s="35">
        <f t="shared" si="1"/>
        <v>79849</v>
      </c>
      <c r="F18" s="35">
        <f t="shared" si="2"/>
        <v>79839.16666666667</v>
      </c>
      <c r="G18" s="35">
        <f>F18/(Parameters!$B$9*Parameters!$B$20)</f>
        <v>122829.48717948719</v>
      </c>
      <c r="H18" s="42">
        <f>G18/(37000*60*Parameters!$B$27/1000)</f>
        <v>0.5532859782859784</v>
      </c>
      <c r="I18" s="42">
        <f>H18/EXP(-0.693*(Parameters!$D$25)/(Parameters!$B$8*24))</f>
        <v>0.5535469572248527</v>
      </c>
      <c r="J18" s="37">
        <f t="shared" si="0"/>
        <v>20.48123741731955</v>
      </c>
    </row>
    <row r="19" spans="1:10" ht="12.75">
      <c r="A19" s="20">
        <v>7</v>
      </c>
      <c r="B19" s="29">
        <v>49728</v>
      </c>
      <c r="C19" s="29">
        <v>38390</v>
      </c>
      <c r="D19" s="29">
        <v>87646</v>
      </c>
      <c r="E19" s="35">
        <f t="shared" si="1"/>
        <v>58588</v>
      </c>
      <c r="F19" s="35">
        <f t="shared" si="2"/>
        <v>58578.166666666664</v>
      </c>
      <c r="G19" s="35">
        <f>F19/(Parameters!$B$9*Parameters!$B$20)</f>
        <v>90120.2564102564</v>
      </c>
      <c r="H19" s="42">
        <f>G19/(37000*60*Parameters!$B$27/1000)</f>
        <v>0.4059471009471009</v>
      </c>
      <c r="I19" s="42">
        <f>H19/EXP(-0.693*(Parameters!$D$25)/(Parameters!$B$8*24))</f>
        <v>0.4061385817505228</v>
      </c>
      <c r="J19" s="37">
        <f t="shared" si="0"/>
        <v>15.027127524769345</v>
      </c>
    </row>
    <row r="20" spans="1:10" ht="12.75">
      <c r="A20" s="20">
        <v>8</v>
      </c>
      <c r="B20" s="29">
        <v>118333</v>
      </c>
      <c r="C20" s="29">
        <v>113327</v>
      </c>
      <c r="D20" s="29">
        <v>143820</v>
      </c>
      <c r="E20" s="35">
        <f t="shared" si="1"/>
        <v>125160</v>
      </c>
      <c r="F20" s="35">
        <f t="shared" si="2"/>
        <v>125150.16666666667</v>
      </c>
      <c r="G20" s="35">
        <f>F20/(Parameters!$B$9*Parameters!$B$20)</f>
        <v>192538.71794871794</v>
      </c>
      <c r="H20" s="42">
        <f>G20/(37000*60*Parameters!$B$27/1000)</f>
        <v>0.8672915222915223</v>
      </c>
      <c r="I20" s="42">
        <f>H20/EXP(-0.693*(Parameters!$D$25)/(Parameters!$B$8*24))</f>
        <v>0.8677006142079369</v>
      </c>
      <c r="J20" s="37">
        <f t="shared" si="0"/>
        <v>32.10492272569366</v>
      </c>
    </row>
    <row r="21" spans="1:10" ht="12.75">
      <c r="A21" s="20">
        <v>9</v>
      </c>
      <c r="B21" s="29">
        <v>147540</v>
      </c>
      <c r="C21" s="29">
        <v>162073</v>
      </c>
      <c r="D21" s="29">
        <v>161453</v>
      </c>
      <c r="E21" s="35">
        <f t="shared" si="1"/>
        <v>157022</v>
      </c>
      <c r="F21" s="35">
        <f t="shared" si="2"/>
        <v>157012.16666666666</v>
      </c>
      <c r="G21" s="35">
        <f>F21/(Parameters!$B$9*Parameters!$B$20)</f>
        <v>241557.17948717947</v>
      </c>
      <c r="H21" s="42">
        <f>G21/(37000*60*Parameters!$B$27/1000)</f>
        <v>1.088095403095403</v>
      </c>
      <c r="I21" s="42">
        <f>H21/EXP(-0.693*(Parameters!$D$25)/(Parameters!$B$8*24))</f>
        <v>1.0886086457851483</v>
      </c>
      <c r="J21" s="37">
        <f t="shared" si="0"/>
        <v>40.27851989405048</v>
      </c>
    </row>
    <row r="22" spans="1:10" ht="12.75">
      <c r="A22" s="20">
        <v>10</v>
      </c>
      <c r="B22" s="29">
        <v>248653</v>
      </c>
      <c r="C22" s="29">
        <v>244473</v>
      </c>
      <c r="D22" s="29">
        <v>297360</v>
      </c>
      <c r="E22" s="35">
        <f t="shared" si="1"/>
        <v>263495.3333333333</v>
      </c>
      <c r="F22" s="35">
        <f t="shared" si="2"/>
        <v>263485.5</v>
      </c>
      <c r="G22" s="35">
        <f>F22/(Parameters!$B$9*Parameters!$B$20)</f>
        <v>405362.3076923077</v>
      </c>
      <c r="H22" s="42">
        <f>G22/(37000*60*Parameters!$B$27/1000)</f>
        <v>1.8259563409563409</v>
      </c>
      <c r="I22" s="42">
        <f>H22/EXP(-0.693*(Parameters!$D$25)/(Parameters!$B$8*24))</f>
        <v>1.8268176245727625</v>
      </c>
      <c r="J22" s="37">
        <f t="shared" si="0"/>
        <v>67.59225210919222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C2">
      <selection activeCell="D22" sqref="D22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Jan.,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36.61861346720768</v>
      </c>
      <c r="C15" s="46">
        <f>CellSuspension!J15/(CoulterSurvival!F15*Parameters!$B$14)*1000000</f>
        <v>1.994256368356608</v>
      </c>
      <c r="D15" s="37">
        <f>CoulterSurvival!I37</f>
        <v>0.5729166666666666</v>
      </c>
      <c r="E15" s="37">
        <f>CoulterSurvival!J37</f>
        <v>0.738306416096235</v>
      </c>
    </row>
    <row r="16" spans="1:5" ht="12.75">
      <c r="A16" s="20">
        <v>4</v>
      </c>
      <c r="B16" s="46">
        <f>MediumActivity!J16</f>
        <v>67.41187521070594</v>
      </c>
      <c r="C16" s="46">
        <f>CellSuspension!J16/(CoulterSurvival!F16*Parameters!$B$14)*1000000</f>
        <v>4.6719401215847425</v>
      </c>
      <c r="D16" s="37">
        <f>CoulterSurvival!I38</f>
        <v>0.6640625</v>
      </c>
      <c r="E16" s="37">
        <f>CoulterSurvival!J38</f>
        <v>1.03729633449759</v>
      </c>
    </row>
    <row r="17" spans="1:5" ht="12.75">
      <c r="A17" s="20">
        <v>5</v>
      </c>
      <c r="B17" s="46">
        <f>MediumActivity!J17</f>
        <v>124.5560051931087</v>
      </c>
      <c r="C17" s="46">
        <f>CellSuspension!J17/(CoulterSurvival!F17*Parameters!$B$14)*1000000</f>
        <v>15.700187807319951</v>
      </c>
      <c r="D17" s="37">
        <f>CoulterSurvival!I39</f>
        <v>0.546875</v>
      </c>
      <c r="E17" s="37">
        <f>CoulterSurvival!J39</f>
        <v>1.9052815434072665</v>
      </c>
    </row>
    <row r="18" spans="1:5" ht="12.75">
      <c r="A18" s="20">
        <v>6</v>
      </c>
      <c r="B18" s="46">
        <f>MediumActivity!J18</f>
        <v>212.51875922716988</v>
      </c>
      <c r="C18" s="46">
        <f>CellSuspension!J18/(CoulterSurvival!F18*Parameters!$B$14)*1000000</f>
        <v>15.177282939422652</v>
      </c>
      <c r="D18" s="37">
        <f>CoulterSurvival!I40</f>
        <v>0.6171875</v>
      </c>
      <c r="E18" s="37">
        <f>CoulterSurvival!J40</f>
        <v>0.7806619976410435</v>
      </c>
    </row>
    <row r="19" spans="1:5" ht="12.75">
      <c r="A19" s="20">
        <v>7</v>
      </c>
      <c r="B19" s="46">
        <f>MediumActivity!J19</f>
        <v>282.26596157689346</v>
      </c>
      <c r="C19" s="46">
        <f>CellSuspension!J19/(CoulterSurvival!F19*Parameters!$B$14)*1000000</f>
        <v>12.042897519449706</v>
      </c>
      <c r="D19" s="37">
        <f>CoulterSurvival!I41</f>
        <v>0.5078125</v>
      </c>
      <c r="E19" s="37">
        <f>CoulterSurvival!J41</f>
        <v>0.6946507102500401</v>
      </c>
    </row>
    <row r="20" spans="1:5" ht="12.75">
      <c r="A20" s="20">
        <v>8</v>
      </c>
      <c r="B20" s="46">
        <f>MediumActivity!J20</f>
        <v>400.24714459167205</v>
      </c>
      <c r="C20" s="46">
        <f>CellSuspension!J20/(CoulterSurvival!F20*Parameters!$B$14)*1000000</f>
        <v>16.94071976942361</v>
      </c>
      <c r="D20" s="37">
        <f>CoulterSurvival!I42</f>
        <v>0.9661458333333335</v>
      </c>
      <c r="E20" s="37">
        <f>CoulterSurvival!J42</f>
        <v>0.8701837986333417</v>
      </c>
    </row>
    <row r="21" spans="1:5" ht="12.75">
      <c r="A21" s="20">
        <v>9</v>
      </c>
      <c r="B21" s="46">
        <f>MediumActivity!J21</f>
        <v>518.3899054573138</v>
      </c>
      <c r="C21" s="46">
        <f>CellSuspension!J21/(CoulterSurvival!F21*Parameters!$B$14)*1000000</f>
        <v>28.383810880896238</v>
      </c>
      <c r="D21" s="37">
        <f>CoulterSurvival!I43</f>
        <v>0.66796875</v>
      </c>
      <c r="E21" s="37">
        <f>CoulterSurvival!J43</f>
        <v>0.8034547538581699</v>
      </c>
    </row>
    <row r="22" spans="1:5" ht="12.75">
      <c r="A22" s="20">
        <v>10</v>
      </c>
      <c r="B22" s="46">
        <f>MediumActivity!J22</f>
        <v>477.9244852726443</v>
      </c>
      <c r="C22" s="46">
        <f>CellSuspension!J22/(CoulterSurvival!F22*Parameters!$B$14)*1000000</f>
        <v>55.467136147375854</v>
      </c>
      <c r="D22" s="37">
        <f>CoulterSurvival!I44</f>
        <v>0.10182291666666667</v>
      </c>
      <c r="E22" s="37">
        <f>CoulterSurvival!J44</f>
        <v>0.14262394260490183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">
      <selection activeCell="E20" sqref="E2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Jan., 15,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36.61861346720768</v>
      </c>
      <c r="C15" s="46">
        <f>CellSuspension!J15/(CoulterSurvival!F15*Parameters!$B$14)*1000000</f>
        <v>1.994256368356608</v>
      </c>
      <c r="D15" s="37">
        <f>CoulterSurvival!I37</f>
        <v>0.5729166666666666</v>
      </c>
      <c r="E15" s="37">
        <f>CoulterSurvival!J37</f>
        <v>0.738306416096235</v>
      </c>
    </row>
    <row r="16" spans="1:5" ht="12.75">
      <c r="A16" s="20">
        <v>4</v>
      </c>
      <c r="B16" s="46">
        <f>MediumActivity!J16</f>
        <v>67.41187521070594</v>
      </c>
      <c r="C16" s="46">
        <f>CellSuspension!J16/(CoulterSurvival!F16*Parameters!$B$14)*1000000</f>
        <v>4.6719401215847425</v>
      </c>
      <c r="D16" s="37">
        <f>CoulterSurvival!I38</f>
        <v>0.6640625</v>
      </c>
      <c r="E16" s="37">
        <f>CoulterSurvival!J38</f>
        <v>1.03729633449759</v>
      </c>
    </row>
    <row r="17" spans="1:5" ht="12.75">
      <c r="A17" s="20">
        <v>5</v>
      </c>
      <c r="B17" s="46">
        <f>MediumActivity!J17</f>
        <v>124.5560051931087</v>
      </c>
      <c r="C17" s="46">
        <f>CellSuspension!J17/(CoulterSurvival!F17*Parameters!$B$14)*1000000</f>
        <v>15.700187807319951</v>
      </c>
      <c r="D17" s="37">
        <f>CoulterSurvival!I39</f>
        <v>0.546875</v>
      </c>
      <c r="E17" s="37">
        <f>CoulterSurvival!J39</f>
        <v>1.9052815434072665</v>
      </c>
    </row>
    <row r="18" spans="1:5" ht="12.75">
      <c r="A18" s="20">
        <v>6</v>
      </c>
      <c r="B18" s="46">
        <f>MediumActivity!J18</f>
        <v>212.51875922716988</v>
      </c>
      <c r="C18" s="46">
        <f>CellSuspension!J18/(CoulterSurvival!F18*Parameters!$B$14)*1000000</f>
        <v>15.177282939422652</v>
      </c>
      <c r="D18" s="37">
        <f>CoulterSurvival!I40</f>
        <v>0.6171875</v>
      </c>
      <c r="E18" s="37">
        <f>CoulterSurvival!J40</f>
        <v>0.7806619976410435</v>
      </c>
    </row>
    <row r="19" spans="1:5" ht="12.75">
      <c r="A19" s="20">
        <v>7</v>
      </c>
      <c r="B19" s="46">
        <f>MediumActivity!J19</f>
        <v>282.26596157689346</v>
      </c>
      <c r="C19" s="46">
        <f>CellSuspension!J19/(CoulterSurvival!F19*Parameters!$B$14)*1000000</f>
        <v>12.042897519449706</v>
      </c>
      <c r="D19" s="37">
        <f>CoulterSurvival!I41</f>
        <v>0.5078125</v>
      </c>
      <c r="E19" s="37">
        <f>CoulterSurvival!J41</f>
        <v>0.6946507102500401</v>
      </c>
    </row>
    <row r="20" spans="1:5" ht="12.75">
      <c r="A20" s="20">
        <v>8</v>
      </c>
      <c r="B20" s="46">
        <f>MediumActivity!J20</f>
        <v>400.24714459167205</v>
      </c>
      <c r="C20" s="46">
        <f>CellSuspension!J20/(CoulterSurvival!F20*Parameters!$B$14)*1000000</f>
        <v>16.94071976942361</v>
      </c>
      <c r="D20" s="37">
        <f>CoulterSurvival!I42</f>
        <v>0.9661458333333335</v>
      </c>
      <c r="E20" s="37">
        <f>CoulterSurvival!J42</f>
        <v>0.8701837986333417</v>
      </c>
    </row>
    <row r="21" spans="1:5" ht="12.75">
      <c r="A21" s="20">
        <v>9</v>
      </c>
      <c r="B21" s="46">
        <f>MediumActivity!J21</f>
        <v>518.3899054573138</v>
      </c>
      <c r="C21" s="46">
        <f>CellSuspension!J21/(CoulterSurvival!F21*Parameters!$B$14)*1000000</f>
        <v>28.383810880896238</v>
      </c>
      <c r="D21" s="37">
        <f>CoulterSurvival!I43</f>
        <v>0.66796875</v>
      </c>
      <c r="E21" s="37">
        <f>CoulterSurvival!J43</f>
        <v>0.8034547538581699</v>
      </c>
    </row>
    <row r="22" spans="1:5" ht="12.75">
      <c r="A22" s="20">
        <v>10</v>
      </c>
      <c r="B22" s="46">
        <f>MediumActivity!J22</f>
        <v>477.9244852726443</v>
      </c>
      <c r="C22" s="46">
        <f>CellSuspension!J22/(CoulterSurvival!F22*Parameters!$B$14)*1000000</f>
        <v>55.467136147375854</v>
      </c>
      <c r="D22" s="37">
        <f>CoulterSurvival!I44</f>
        <v>0.10182291666666667</v>
      </c>
      <c r="E22" s="37">
        <f>CoulterSurvival!J44</f>
        <v>0.14262394260490183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2000-12-08T19:28:39Z</cp:lastPrinted>
  <dcterms:created xsi:type="dcterms:W3CDTF">2000-10-11T19:44:58Z</dcterms:created>
  <dcterms:modified xsi:type="dcterms:W3CDTF">2001-02-07T19:24:31Z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