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285" windowHeight="4890" tabRatio="727" firstSheet="4" activeTab="5"/>
  </bookViews>
  <sheets>
    <sheet name="Parameters" sheetId="1" r:id="rId1"/>
    <sheet name="CoulterSurvival" sheetId="2" r:id="rId2"/>
    <sheet name="MediumActivity" sheetId="3" r:id="rId3"/>
    <sheet name="CellSuspension" sheetId="4" r:id="rId4"/>
    <sheet name="Summary" sheetId="5" r:id="rId5"/>
    <sheet name="Unprotected Summary" sheetId="6" r:id="rId6"/>
    <sheet name="Sheet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<sst xmlns="http://schemas.openxmlformats.org/spreadsheetml/2006/main" count="157" uniqueCount="104">
  <si>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</si>
  <si>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</si>
  <si>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</si>
  <si>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</si>
  <si>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</si>
  <si>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</si>
  <si>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</si>
  <si>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</si>
  <si>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</si>
  <si>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</si>
  <si>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</si>
  <si>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</si>
  <si>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</si>
  <si>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</si>
  <si>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</si>
  <si>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</si>
  <si>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</si>
  <si>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</si>
  <si>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</si>
  <si>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</si>
  <si>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</si>
  <si>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</si>
  <si>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</si>
  <si>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</si>
  <si>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</si>
  <si>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</si>
  <si>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</si>
  <si>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</si>
  <si>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</si>
  <si>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</si>
  <si>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</si>
  <si>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</si>
  <si>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</si>
  <si>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</si>
  <si>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</si>
  <si>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</si>
  <si>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</si>
  <si>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</si>
  <si>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</si>
  <si>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</si>
  <si>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</si>
  <si>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</si>
  <si>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</si>
  <si>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</si>
  <si>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</si>
  <si>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</si>
  <si>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</si>
  <si>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</si>
  <si>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</si>
  <si>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</si>
  <si>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</si>
  <si>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</si>
  <si>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</si>
  <si>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</si>
  <si>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</si>
  <si>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</si>
  <si>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</si>
  <si>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</si>
  <si>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</si>
  <si>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</si>
  <si>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</si>
  <si>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</si>
  <si>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</si>
  <si>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</si>
  <si>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</si>
  <si>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</si>
  <si>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</si>
  <si>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</si>
  <si>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</si>
  <si>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</si>
  <si>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</si>
  <si>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</si>
  <si>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</si>
  <si>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</si>
  <si>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</si>
  <si>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</si>
  <si>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</si>
  <si>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</si>
  <si>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</si>
  <si>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</si>
  <si>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</si>
  <si>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</si>
  <si>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</si>
  <si>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</si>
  <si>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</si>
  <si>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</si>
  <si>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</si>
  <si>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</si>
  <si>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</si>
  <si>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</si>
  <si>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M.Lenarczyk</t>
  </si>
  <si>
    <t>V79</t>
  </si>
  <si>
    <t>none</t>
  </si>
  <si>
    <t>H-3</t>
  </si>
  <si>
    <t>3HTdR</t>
  </si>
  <si>
    <t>NCN/3106-398</t>
  </si>
  <si>
    <t>EcoLume</t>
  </si>
  <si>
    <t>7/Plastic vial with cup</t>
  </si>
  <si>
    <t>Beckman LS5000TD</t>
  </si>
  <si>
    <t>June 14, 2001/ 19:30</t>
  </si>
  <si>
    <t>June 15, 2001/ 9:30</t>
  </si>
  <si>
    <t>June 19, 2001/ 9:48</t>
  </si>
  <si>
    <t>June 19, 2001/ 10:17</t>
  </si>
  <si>
    <t>05/30/01/ 12:00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</si>
</sst>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m/dd/yy"/>
    <numFmt numFmtId="179" formatCode="0_);[Red]\(0\)"/>
    <numFmt numFmtId="180" formatCode="0.E+00"/>
  </numFmts>
  <fonts count="2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  <xf numFmtId="2" fontId="0" fillId="0" borderId="0" xfId="0" applyNumberFormat="1" applyAlignment="1">
      <alignment/>
    </xf>
    <xf numFmtId="15" fontId="0" fillId="0" borderId="0" xfId="0" applyNumberForma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27392440"/>
        <c:axId val="45205369"/>
      </c:scatterChart>
      <c:valAx>
        <c:axId val="27392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05369"/>
        <c:crossesAt val="0.001"/>
        <c:crossBetween val="midCat"/>
        <c:dispUnits/>
      </c:valAx>
      <c:valAx>
        <c:axId val="4520536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924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4195138"/>
        <c:axId val="37756243"/>
      </c:scatterChart>
      <c:valAx>
        <c:axId val="4195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56243"/>
        <c:crosses val="autoZero"/>
        <c:crossBetween val="midCat"/>
        <c:dispUnits/>
      </c:valAx>
      <c:valAx>
        <c:axId val="3775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51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467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'Unprotected Summary'!$D$7:$D$8</c:f>
              <c:strCache>
                <c:ptCount val="1"/>
                <c:pt idx="0">
                  <c:v>Survival Uncorrected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'Unprotected Summary'!$C$13:$C$22</c:f>
              <c:numCache/>
            </c:numRef>
          </c:xVal>
          <c:yVal>
            <c:numRef>
              <c:f>'Unprotected Summary'!$D$13:$D$22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3.6887933134266655</c:v>
                </c:pt>
                <c:pt idx="3">
                  <c:v>7.804817582426303</c:v>
                </c:pt>
                <c:pt idx="4">
                  <c:v>8.736171945211291</c:v>
                </c:pt>
                <c:pt idx="5">
                  <c:v>12.777055983753812</c:v>
                </c:pt>
                <c:pt idx="6">
                  <c:v>25.360542444491944</c:v>
                </c:pt>
                <c:pt idx="7">
                  <c:v>21.40029405755151</c:v>
                </c:pt>
                <c:pt idx="8">
                  <c:v>26.22782663559593</c:v>
                </c:pt>
                <c:pt idx="9">
                  <c:v>34.013156420694365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0.736934553847966</c:v>
                </c:pt>
                <c:pt idx="3">
                  <c:v>0.5911172863539103</c:v>
                </c:pt>
                <c:pt idx="4">
                  <c:v>0.6623975758874592</c:v>
                </c:pt>
                <c:pt idx="5">
                  <c:v>0.7524017641827917</c:v>
                </c:pt>
                <c:pt idx="6">
                  <c:v>0.6763288528655441</c:v>
                </c:pt>
                <c:pt idx="7">
                  <c:v>0.7975940312307089</c:v>
                </c:pt>
                <c:pt idx="8">
                  <c:v>0.8216252130500281</c:v>
                </c:pt>
                <c:pt idx="9">
                  <c:v>0.7646939539244755</c:v>
                </c:pt>
              </c:numCache>
            </c:numRef>
          </c:yVal>
          <c:smooth val="0"/>
        </c:ser>
        <c:axId val="4261868"/>
        <c:axId val="38356813"/>
      </c:scatterChart>
      <c:valAx>
        <c:axId val="426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56813"/>
        <c:crossesAt val="0.001"/>
        <c:crossBetween val="midCat"/>
        <c:dispUnits/>
      </c:valAx>
      <c:valAx>
        <c:axId val="3835681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18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.5315"/>
          <c:w val="0.22875"/>
          <c:h val="0.20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185.25662702636953</c:v>
                </c:pt>
                <c:pt idx="3">
                  <c:v>367.0766414410482</c:v>
                </c:pt>
                <c:pt idx="4">
                  <c:v>531.7027589430127</c:v>
                </c:pt>
                <c:pt idx="5">
                  <c:v>713.298683635376</c:v>
                </c:pt>
                <c:pt idx="6">
                  <c:v>1114.747295772605</c:v>
                </c:pt>
                <c:pt idx="7">
                  <c:v>1119.05361029005</c:v>
                </c:pt>
                <c:pt idx="8">
                  <c:v>1311.0064145530869</c:v>
                </c:pt>
                <c:pt idx="9">
                  <c:v>1565.5335653091158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3.6887933134266655</c:v>
                </c:pt>
                <c:pt idx="3">
                  <c:v>7.804817582426303</c:v>
                </c:pt>
                <c:pt idx="4">
                  <c:v>8.736171945211291</c:v>
                </c:pt>
                <c:pt idx="5">
                  <c:v>12.777055983753812</c:v>
                </c:pt>
                <c:pt idx="6">
                  <c:v>25.360542444491944</c:v>
                </c:pt>
                <c:pt idx="7">
                  <c:v>21.40029405755151</c:v>
                </c:pt>
                <c:pt idx="8">
                  <c:v>26.22782663559593</c:v>
                </c:pt>
                <c:pt idx="9">
                  <c:v>34.013156420694365</c:v>
                </c:pt>
              </c:numCache>
            </c:numRef>
          </c:yVal>
          <c:smooth val="0"/>
        </c:ser>
        <c:axId val="9666998"/>
        <c:axId val="19894119"/>
      </c:scatterChart>
      <c:valAx>
        <c:axId val="9666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894119"/>
        <c:crosses val="autoZero"/>
        <c:crossBetween val="midCat"/>
        <c:dispUnits/>
      </c:valAx>
      <c:valAx>
        <c:axId val="19894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96669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arek%20Lab\H%20P%20R%20T\V%2079\50%20%\Combined%20data\HPRT%20frequency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ig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8" sqref="A18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>
        <v>37056</v>
      </c>
    </row>
    <row r="2" ht="12.75">
      <c r="B2" s="66">
        <v>37056</v>
      </c>
    </row>
    <row r="3" spans="1:2" ht="12.75">
      <c r="A3" s="24" t="s">
        <v>15</v>
      </c>
      <c r="B3" s="48">
        <v>37056</v>
      </c>
    </row>
    <row r="4" spans="1:3" ht="12.75">
      <c r="A4" s="24" t="s">
        <v>16</v>
      </c>
      <c r="B4" s="50" t="s">
        <v>90</v>
      </c>
      <c r="C4" s="20"/>
    </row>
    <row r="5" spans="1:2" ht="12.75">
      <c r="A5" s="24" t="s">
        <v>17</v>
      </c>
      <c r="B5" s="50" t="s">
        <v>91</v>
      </c>
    </row>
    <row r="6" spans="1:2" ht="12.75">
      <c r="A6" s="24" t="s">
        <v>81</v>
      </c>
      <c r="B6" s="50" t="s">
        <v>92</v>
      </c>
    </row>
    <row r="7" spans="1:2" ht="12.75">
      <c r="A7" s="24" t="s">
        <v>21</v>
      </c>
      <c r="B7" s="50" t="s">
        <v>93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94</v>
      </c>
    </row>
    <row r="11" spans="1:2" ht="12.75">
      <c r="A11" s="24" t="s">
        <v>19</v>
      </c>
      <c r="B11" s="50" t="s">
        <v>95</v>
      </c>
    </row>
    <row r="12" spans="1:4" ht="12.75">
      <c r="A12" s="24" t="s">
        <v>27</v>
      </c>
      <c r="B12" s="52" t="s">
        <v>103</v>
      </c>
      <c r="C12" s="20" t="s">
        <v>25</v>
      </c>
      <c r="D12" s="56">
        <v>37</v>
      </c>
    </row>
    <row r="13" spans="1:4" ht="12.75">
      <c r="A13" s="24" t="s">
        <v>28</v>
      </c>
      <c r="B13" s="48">
        <v>37056</v>
      </c>
      <c r="C13" s="20" t="s">
        <v>89</v>
      </c>
      <c r="D13" s="57">
        <v>15</v>
      </c>
    </row>
    <row r="14" spans="1:4" ht="12.75">
      <c r="A14" s="24" t="s">
        <v>83</v>
      </c>
      <c r="B14" s="51">
        <v>0.5</v>
      </c>
      <c r="C14" s="20" t="s">
        <v>26</v>
      </c>
      <c r="D14" s="47">
        <f>$D$12*EXP(-0.693*$D$13/($B$8))</f>
        <v>36.91463716830869</v>
      </c>
    </row>
    <row r="15" ht="12.75">
      <c r="B15" s="61"/>
    </row>
    <row r="16" spans="1:2" ht="12.75">
      <c r="A16" s="24" t="s">
        <v>35</v>
      </c>
      <c r="B16" s="49" t="s">
        <v>96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97</v>
      </c>
    </row>
    <row r="19" spans="1:2" ht="12.75">
      <c r="A19" s="24" t="s">
        <v>36</v>
      </c>
      <c r="B19" s="50" t="s">
        <v>98</v>
      </c>
    </row>
    <row r="20" spans="1:2" ht="12.75">
      <c r="A20" s="24" t="s">
        <v>37</v>
      </c>
      <c r="B20" s="51">
        <v>0.65</v>
      </c>
    </row>
    <row r="21" ht="12.75">
      <c r="B21" s="61"/>
    </row>
    <row r="22" spans="1:2" ht="12.75">
      <c r="A22" s="24" t="s">
        <v>23</v>
      </c>
      <c r="B22" s="48" t="s">
        <v>99</v>
      </c>
    </row>
    <row r="23" spans="1:4" ht="12.75">
      <c r="A23" s="24" t="s">
        <v>24</v>
      </c>
      <c r="B23" s="48" t="s">
        <v>100</v>
      </c>
      <c r="C23" s="20" t="s">
        <v>29</v>
      </c>
      <c r="D23" s="27">
        <v>14</v>
      </c>
    </row>
    <row r="24" spans="1:4" ht="12.75">
      <c r="A24" s="24" t="s">
        <v>69</v>
      </c>
      <c r="B24" s="48" t="s">
        <v>101</v>
      </c>
      <c r="C24" s="20" t="s">
        <v>30</v>
      </c>
      <c r="D24" s="27">
        <v>110</v>
      </c>
    </row>
    <row r="25" spans="1:4" ht="12.75">
      <c r="A25" s="24" t="s">
        <v>70</v>
      </c>
      <c r="B25" s="48" t="s">
        <v>102</v>
      </c>
      <c r="C25" s="20" t="s">
        <v>71</v>
      </c>
      <c r="D25" s="27">
        <v>110.5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1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500</v>
      </c>
      <c r="E30" s="20" t="s">
        <v>82</v>
      </c>
    </row>
    <row r="31" spans="1:6" ht="12.75">
      <c r="A31" s="24" t="s">
        <v>31</v>
      </c>
      <c r="B31" s="60">
        <f>AVERAGE(D32:F32)</f>
        <v>5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3">
        <v>5</v>
      </c>
      <c r="E32" s="54">
        <v>5</v>
      </c>
      <c r="F32" s="55">
        <v>5</v>
      </c>
    </row>
    <row r="33" spans="1:2" ht="12.75">
      <c r="A33" s="24" t="s">
        <v>84</v>
      </c>
      <c r="B33" s="64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5">
      <selection activeCell="E54" sqref="E54"/>
    </sheetView>
  </sheetViews>
  <sheetFormatPr defaultColWidth="9.140625" defaultRowHeight="12.75"/>
  <cols>
    <col min="1" max="1" width="6.57421875" style="62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2" t="s">
        <v>45</v>
      </c>
      <c r="B3" s="20"/>
      <c r="C3" s="20">
        <f>Parameters!$B$3</f>
        <v>37056</v>
      </c>
      <c r="D3" s="20"/>
      <c r="E3" s="20"/>
      <c r="F3" s="20"/>
    </row>
    <row r="4" spans="1:6" ht="12.75">
      <c r="A4" s="62" t="s">
        <v>12</v>
      </c>
      <c r="B4" s="20"/>
      <c r="C4" s="43">
        <f>Parameters!$B$1</f>
        <v>37056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2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3">
        <v>1</v>
      </c>
      <c r="B13" s="28">
        <v>9698</v>
      </c>
      <c r="C13" s="28">
        <v>9493</v>
      </c>
      <c r="D13" s="28">
        <v>9590</v>
      </c>
      <c r="E13" s="34">
        <f>IF(Parameters!$B$33="Yes",AVERAGE(G13:J13),AVERAGE(B13:D13))</f>
        <v>9593.666666666666</v>
      </c>
      <c r="F13" s="34">
        <f>IF(Parameters!$B$33="Yes",E13*10000,(E13-Parameters!$B$31)*Parameters!$B$32*(100/Parameters!$B$29)*(500/Parameters!$B$30))</f>
        <v>3835466.6666666665</v>
      </c>
      <c r="G13" s="26"/>
      <c r="H13" s="26"/>
      <c r="I13" s="26"/>
      <c r="J13" s="26"/>
    </row>
    <row r="14" spans="1:10" ht="12.75">
      <c r="A14" s="63">
        <v>2</v>
      </c>
      <c r="B14" s="28">
        <v>9431</v>
      </c>
      <c r="C14" s="28">
        <v>9585</v>
      </c>
      <c r="D14" s="28">
        <v>9579</v>
      </c>
      <c r="E14" s="34">
        <f>IF(Parameters!$B$33="Yes",AVERAGE(G14:J14),AVERAGE(B14:D14))</f>
        <v>9531.666666666666</v>
      </c>
      <c r="F14" s="34">
        <f>IF(Parameters!$B$33="Yes",E14*10000,(E14-Parameters!$B$31)*Parameters!$B$32*(100/Parameters!$B$29)*(500/Parameters!$B$30))</f>
        <v>3810666.6666666665</v>
      </c>
      <c r="G14" s="26"/>
      <c r="H14" s="26"/>
      <c r="I14" s="26"/>
      <c r="J14" s="26"/>
    </row>
    <row r="15" spans="1:10" ht="12.75">
      <c r="A15" s="62">
        <v>3</v>
      </c>
      <c r="B15" s="29">
        <v>8615</v>
      </c>
      <c r="C15" s="29">
        <v>8504</v>
      </c>
      <c r="D15" s="29">
        <v>8509</v>
      </c>
      <c r="E15" s="35">
        <f>IF(Parameters!$B$33="Yes",AVERAGE(G15:J15),AVERAGE(B15:D15))</f>
        <v>8542.666666666666</v>
      </c>
      <c r="F15" s="35">
        <f>IF(Parameters!$B$33="Yes",E15*10000,(E15-Parameters!$B$31)*Parameters!$B$32*(100/Parameters!$B$29)*(500/Parameters!$B$30))</f>
        <v>3415066.6666666665</v>
      </c>
      <c r="G15" s="26"/>
      <c r="H15" s="26"/>
      <c r="I15" s="26"/>
      <c r="J15" s="26"/>
    </row>
    <row r="16" spans="1:10" ht="12.75">
      <c r="A16" s="62">
        <v>4</v>
      </c>
      <c r="B16" s="29">
        <v>7846</v>
      </c>
      <c r="C16" s="29">
        <v>7901</v>
      </c>
      <c r="D16" s="29">
        <v>7781</v>
      </c>
      <c r="E16" s="35">
        <f>IF(Parameters!$B$33="Yes",AVERAGE(G16:J16),AVERAGE(B16:D16))</f>
        <v>7842.666666666667</v>
      </c>
      <c r="F16" s="35">
        <f>IF(Parameters!$B$33="Yes",E16*10000,(E16-Parameters!$B$31)*Parameters!$B$32*(100/Parameters!$B$29)*(500/Parameters!$B$30))</f>
        <v>3135066.666666667</v>
      </c>
      <c r="G16" s="26"/>
      <c r="H16" s="26"/>
      <c r="I16" s="26"/>
      <c r="J16" s="26"/>
    </row>
    <row r="17" spans="1:10" ht="12.75">
      <c r="A17" s="62">
        <v>5</v>
      </c>
      <c r="B17" s="29">
        <v>8421</v>
      </c>
      <c r="C17" s="29">
        <v>8249</v>
      </c>
      <c r="D17" s="29">
        <v>8343</v>
      </c>
      <c r="E17" s="35">
        <f>IF(Parameters!$B$33="Yes",AVERAGE(G17:J17),AVERAGE(B17:D17))</f>
        <v>8337.666666666666</v>
      </c>
      <c r="F17" s="35">
        <f>IF(Parameters!$B$33="Yes",E17*10000,(E17-Parameters!$B$31)*Parameters!$B$32*(100/Parameters!$B$29)*(500/Parameters!$B$30))</f>
        <v>3333066.6666666665</v>
      </c>
      <c r="G17" s="26"/>
      <c r="H17" s="26"/>
      <c r="I17" s="26"/>
      <c r="J17" s="26"/>
    </row>
    <row r="18" spans="1:10" ht="12.75">
      <c r="A18" s="62">
        <v>6</v>
      </c>
      <c r="B18" s="29">
        <v>6623</v>
      </c>
      <c r="C18" s="29">
        <v>6463</v>
      </c>
      <c r="D18" s="29">
        <v>6314</v>
      </c>
      <c r="E18" s="35">
        <f>IF(Parameters!$B$33="Yes",AVERAGE(G18:J18),AVERAGE(B18:D18))</f>
        <v>6466.666666666667</v>
      </c>
      <c r="F18" s="35">
        <f>IF(Parameters!$B$33="Yes",E18*10000,(E18-Parameters!$B$31)*Parameters!$B$32*(100/Parameters!$B$29)*(500/Parameters!$B$30))</f>
        <v>2584666.666666667</v>
      </c>
      <c r="G18" s="26"/>
      <c r="H18" s="26"/>
      <c r="I18" s="26"/>
      <c r="J18" s="26"/>
    </row>
    <row r="19" spans="1:10" ht="12.75">
      <c r="A19" s="62">
        <v>7</v>
      </c>
      <c r="B19" s="29">
        <v>6725</v>
      </c>
      <c r="C19" s="29">
        <v>6757</v>
      </c>
      <c r="D19" s="29">
        <v>6703</v>
      </c>
      <c r="E19" s="35">
        <f>IF(Parameters!$B$33="Yes",AVERAGE(G19:J19),AVERAGE(B19:D19))</f>
        <v>6728.333333333333</v>
      </c>
      <c r="F19" s="35">
        <f>IF(Parameters!$B$33="Yes",E19*10000,(E19-Parameters!$B$31)*Parameters!$B$32*(100/Parameters!$B$29)*(500/Parameters!$B$30))</f>
        <v>2689333.333333333</v>
      </c>
      <c r="G19" s="26"/>
      <c r="H19" s="26"/>
      <c r="I19" s="26"/>
      <c r="J19" s="26"/>
    </row>
    <row r="20" spans="1:10" ht="12.75">
      <c r="A20" s="62">
        <v>8</v>
      </c>
      <c r="B20" s="29">
        <v>6821</v>
      </c>
      <c r="C20" s="29">
        <v>6891</v>
      </c>
      <c r="D20" s="29">
        <v>6741</v>
      </c>
      <c r="E20" s="35">
        <f>IF(Parameters!$B$33="Yes",AVERAGE(G20:J20),AVERAGE(B20:D20))</f>
        <v>6817.666666666667</v>
      </c>
      <c r="F20" s="35">
        <f>IF(Parameters!$B$33="Yes",E20*10000,(E20-Parameters!$B$31)*Parameters!$B$32*(100/Parameters!$B$29)*(500/Parameters!$B$30))</f>
        <v>2725066.666666667</v>
      </c>
      <c r="G20" s="26"/>
      <c r="H20" s="26"/>
      <c r="I20" s="26"/>
      <c r="J20" s="26"/>
    </row>
    <row r="21" spans="1:10" ht="12.75">
      <c r="A21" s="62">
        <v>9</v>
      </c>
      <c r="B21" s="29">
        <v>6277</v>
      </c>
      <c r="C21" s="29">
        <v>6426</v>
      </c>
      <c r="D21" s="29">
        <v>6108</v>
      </c>
      <c r="E21" s="35">
        <f>IF(Parameters!$B$33="Yes",AVERAGE(G21:J21),AVERAGE(B21:D21))</f>
        <v>6270.333333333333</v>
      </c>
      <c r="F21" s="35">
        <f>IF(Parameters!$B$33="Yes",E21*10000,(E21-Parameters!$B$31)*Parameters!$B$32*(100/Parameters!$B$29)*(500/Parameters!$B$30))</f>
        <v>2506133.333333333</v>
      </c>
      <c r="G21" s="26"/>
      <c r="H21" s="26"/>
      <c r="I21" s="26"/>
      <c r="J21" s="26"/>
    </row>
    <row r="22" spans="1:10" ht="12.75">
      <c r="A22" s="62">
        <v>10</v>
      </c>
      <c r="B22" s="29">
        <v>6437</v>
      </c>
      <c r="C22" s="29">
        <v>6187</v>
      </c>
      <c r="D22" s="29">
        <v>6240</v>
      </c>
      <c r="E22" s="35">
        <f>IF(Parameters!$B$33="Yes",AVERAGE(G22:J22),AVERAGE(B22:D22))</f>
        <v>6288</v>
      </c>
      <c r="F22" s="35">
        <f>IF(Parameters!$B$33="Yes",E22*10000,(E22-Parameters!$B$31)*Parameters!$B$32*(100/Parameters!$B$29)*(500/Parameters!$B$30))</f>
        <v>2513200</v>
      </c>
      <c r="G22" s="26"/>
      <c r="H22" s="26"/>
      <c r="I22" s="26"/>
      <c r="J22" s="26"/>
    </row>
    <row r="29" spans="1:10" ht="12.75">
      <c r="A29" s="62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3">
        <v>1</v>
      </c>
      <c r="B35" s="26">
        <v>200</v>
      </c>
      <c r="C35" s="34">
        <f>F13/(10000*200/B35)</f>
        <v>383.5466666666666</v>
      </c>
      <c r="D35" s="28">
        <v>96</v>
      </c>
      <c r="E35" s="28">
        <v>104</v>
      </c>
      <c r="F35" s="28"/>
      <c r="G35" s="34">
        <f>AVERAGE(D35:F36)</f>
        <v>111.4</v>
      </c>
      <c r="H35" s="44">
        <f>G35/AVERAGE($C$35,$C$36)*100</f>
        <v>29.138911170787857</v>
      </c>
      <c r="I35" s="59">
        <f>G35*200/B35/$G$35</f>
        <v>1</v>
      </c>
      <c r="J35" s="58">
        <f>(G35/AVERAGE(C35:C36))/($G$35/AVERAGE($C$35,$C$36))</f>
        <v>1</v>
      </c>
    </row>
    <row r="36" spans="1:10" ht="12.75">
      <c r="A36" s="63">
        <v>2</v>
      </c>
      <c r="B36" s="26">
        <v>200</v>
      </c>
      <c r="C36" s="34">
        <f aca="true" t="shared" si="0" ref="C36:C44">F14/(10000*200/B36)</f>
        <v>381.06666666666666</v>
      </c>
      <c r="D36" s="28">
        <v>125</v>
      </c>
      <c r="E36" s="28">
        <v>116</v>
      </c>
      <c r="F36" s="28">
        <v>116</v>
      </c>
      <c r="G36" s="34"/>
      <c r="H36" s="44"/>
      <c r="I36" s="45"/>
      <c r="J36" s="37"/>
    </row>
    <row r="37" spans="1:10" ht="12.75">
      <c r="A37" s="62">
        <v>3</v>
      </c>
      <c r="B37" s="26">
        <v>200</v>
      </c>
      <c r="C37" s="35">
        <f t="shared" si="0"/>
        <v>341.50666666666666</v>
      </c>
      <c r="D37" s="29">
        <v>68</v>
      </c>
      <c r="E37" s="29">
        <v>70</v>
      </c>
      <c r="F37" s="29">
        <v>82</v>
      </c>
      <c r="G37" s="35">
        <f aca="true" t="shared" si="1" ref="G37:G44">AVERAGE(D37:F37)</f>
        <v>73.33333333333333</v>
      </c>
      <c r="H37" s="46">
        <f aca="true" t="shared" si="2" ref="H37:H44">G37/C37*100</f>
        <v>21.47347050326006</v>
      </c>
      <c r="I37" s="37">
        <f aca="true" t="shared" si="3" ref="I37:I44">G37*200/B37/$G$35</f>
        <v>0.6582884500299221</v>
      </c>
      <c r="J37" s="37">
        <f>(G37/C37)/($G$35/AVERAGE($C$35,$C$36))</f>
        <v>0.736934553847966</v>
      </c>
    </row>
    <row r="38" spans="1:10" ht="12.75">
      <c r="A38" s="62">
        <v>4</v>
      </c>
      <c r="B38" s="26">
        <v>200</v>
      </c>
      <c r="C38" s="35">
        <f t="shared" si="0"/>
        <v>313.5066666666667</v>
      </c>
      <c r="D38" s="29">
        <v>53</v>
      </c>
      <c r="E38" s="29">
        <v>58</v>
      </c>
      <c r="F38" s="29">
        <v>51</v>
      </c>
      <c r="G38" s="35">
        <f t="shared" si="1"/>
        <v>54</v>
      </c>
      <c r="H38" s="46">
        <f t="shared" si="2"/>
        <v>17.22451409858376</v>
      </c>
      <c r="I38" s="37">
        <f t="shared" si="3"/>
        <v>0.4847396768402154</v>
      </c>
      <c r="J38" s="37">
        <f aca="true" t="shared" si="4" ref="J38:J44">(G38/C38)/($G$35/AVERAGE($C$35,$C$36))</f>
        <v>0.5911172863539103</v>
      </c>
    </row>
    <row r="39" spans="1:10" ht="12.75">
      <c r="A39" s="62">
        <v>5</v>
      </c>
      <c r="B39" s="26">
        <v>200</v>
      </c>
      <c r="C39" s="35">
        <f t="shared" si="0"/>
        <v>333.3066666666667</v>
      </c>
      <c r="D39" s="29">
        <v>57</v>
      </c>
      <c r="E39" s="29">
        <v>72</v>
      </c>
      <c r="F39" s="29">
        <v>64</v>
      </c>
      <c r="G39" s="35">
        <f t="shared" si="1"/>
        <v>64.33333333333333</v>
      </c>
      <c r="H39" s="46">
        <f t="shared" si="2"/>
        <v>19.301544123529883</v>
      </c>
      <c r="I39" s="37">
        <f t="shared" si="3"/>
        <v>0.5774985038898862</v>
      </c>
      <c r="J39" s="37">
        <f t="shared" si="4"/>
        <v>0.6623975758874592</v>
      </c>
    </row>
    <row r="40" spans="1:10" ht="12.75">
      <c r="A40" s="62">
        <v>6</v>
      </c>
      <c r="B40" s="26">
        <v>200</v>
      </c>
      <c r="C40" s="35">
        <f t="shared" si="0"/>
        <v>258.4666666666667</v>
      </c>
      <c r="D40" s="29">
        <v>60</v>
      </c>
      <c r="E40" s="29">
        <v>59</v>
      </c>
      <c r="F40" s="29">
        <v>51</v>
      </c>
      <c r="G40" s="35">
        <f t="shared" si="1"/>
        <v>56.666666666666664</v>
      </c>
      <c r="H40" s="46">
        <f t="shared" si="2"/>
        <v>21.92416817126644</v>
      </c>
      <c r="I40" s="37">
        <f t="shared" si="3"/>
        <v>0.5086774386594852</v>
      </c>
      <c r="J40" s="37">
        <f t="shared" si="4"/>
        <v>0.7524017641827917</v>
      </c>
    </row>
    <row r="41" spans="1:10" ht="12.75">
      <c r="A41" s="62">
        <v>7</v>
      </c>
      <c r="B41" s="26">
        <v>200</v>
      </c>
      <c r="C41" s="35">
        <f t="shared" si="0"/>
        <v>268.9333333333333</v>
      </c>
      <c r="D41" s="29">
        <v>51</v>
      </c>
      <c r="E41" s="29">
        <v>51</v>
      </c>
      <c r="F41" s="29">
        <v>57</v>
      </c>
      <c r="G41" s="35">
        <f t="shared" si="1"/>
        <v>53</v>
      </c>
      <c r="H41" s="46">
        <f t="shared" si="2"/>
        <v>19.707486365889938</v>
      </c>
      <c r="I41" s="37">
        <f t="shared" si="3"/>
        <v>0.4757630161579892</v>
      </c>
      <c r="J41" s="37">
        <f t="shared" si="4"/>
        <v>0.6763288528655441</v>
      </c>
    </row>
    <row r="42" spans="1:10" ht="12.75">
      <c r="A42" s="62">
        <v>8</v>
      </c>
      <c r="B42" s="26">
        <v>200</v>
      </c>
      <c r="C42" s="35">
        <f t="shared" si="0"/>
        <v>272.5066666666667</v>
      </c>
      <c r="D42" s="29">
        <v>62</v>
      </c>
      <c r="E42" s="29">
        <v>60</v>
      </c>
      <c r="F42" s="29">
        <v>68</v>
      </c>
      <c r="G42" s="35">
        <f t="shared" si="1"/>
        <v>63.333333333333336</v>
      </c>
      <c r="H42" s="46">
        <f t="shared" si="2"/>
        <v>23.241021626382224</v>
      </c>
      <c r="I42" s="37">
        <f t="shared" si="3"/>
        <v>0.5685218432076602</v>
      </c>
      <c r="J42" s="37">
        <f t="shared" si="4"/>
        <v>0.7975940312307089</v>
      </c>
    </row>
    <row r="43" spans="1:10" ht="12.75">
      <c r="A43" s="62">
        <v>9</v>
      </c>
      <c r="B43" s="26">
        <v>200</v>
      </c>
      <c r="C43" s="35">
        <f t="shared" si="0"/>
        <v>250.61333333333332</v>
      </c>
      <c r="D43" s="29">
        <v>72</v>
      </c>
      <c r="E43" s="29">
        <v>60</v>
      </c>
      <c r="F43" s="29">
        <v>48</v>
      </c>
      <c r="G43" s="35">
        <f t="shared" si="1"/>
        <v>60</v>
      </c>
      <c r="H43" s="46">
        <f t="shared" si="2"/>
        <v>23.941264098744416</v>
      </c>
      <c r="I43" s="37">
        <f t="shared" si="3"/>
        <v>0.5385996409335727</v>
      </c>
      <c r="J43" s="37">
        <f t="shared" si="4"/>
        <v>0.8216252130500281</v>
      </c>
    </row>
    <row r="44" spans="1:10" ht="12.75">
      <c r="A44" s="62">
        <v>10</v>
      </c>
      <c r="B44" s="26">
        <v>200</v>
      </c>
      <c r="C44" s="35">
        <f t="shared" si="0"/>
        <v>251.32</v>
      </c>
      <c r="D44" s="29">
        <v>52</v>
      </c>
      <c r="E44" s="29">
        <v>59</v>
      </c>
      <c r="F44" s="29">
        <v>57</v>
      </c>
      <c r="G44" s="35">
        <f t="shared" si="1"/>
        <v>56</v>
      </c>
      <c r="H44" s="46">
        <f t="shared" si="2"/>
        <v>22.282349196243835</v>
      </c>
      <c r="I44" s="37">
        <f t="shared" si="3"/>
        <v>0.5026929982046678</v>
      </c>
      <c r="J44" s="37">
        <f t="shared" si="4"/>
        <v>0.7646939539244755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7">
      <pane xSplit="11610" topLeftCell="U1" activePane="topLeft" state="split"/>
      <selection pane="topLeft" activeCell="B19" sqref="B19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>
        <f>Parameters!$B$3</f>
        <v>37056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>
        <f>Parameters!$B$1</f>
        <v>37056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10</v>
      </c>
      <c r="C13" s="28">
        <v>14</v>
      </c>
      <c r="D13" s="28">
        <v>18</v>
      </c>
      <c r="E13" s="34">
        <f>AVERAGE(B13:D13,B14:D14)</f>
        <v>15.333333333333334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19</v>
      </c>
      <c r="C14" s="28">
        <v>12</v>
      </c>
      <c r="D14" s="28">
        <v>19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29">
        <v>221726</v>
      </c>
      <c r="C15" s="29">
        <v>216346</v>
      </c>
      <c r="D15" s="29">
        <v>211766</v>
      </c>
      <c r="E15" s="35">
        <f>AVERAGE(B15:D15)</f>
        <v>216612.66666666666</v>
      </c>
      <c r="F15" s="36">
        <f>(E15-E13)</f>
        <v>216597.3333333333</v>
      </c>
      <c r="G15" s="35">
        <f>F15/(Parameters!$B$9*Parameters!$B$20)</f>
        <v>333226.6666666666</v>
      </c>
      <c r="H15" s="37">
        <f>G15/(37000*60*Parameters!$B$26/1000)</f>
        <v>5.003403403403403</v>
      </c>
      <c r="I15" s="37">
        <f>H15/EXP(-0.693*Parameters!$D$24/(Parameters!$B$8*24))</f>
        <v>5.006935865577555</v>
      </c>
      <c r="J15" s="37">
        <f>I15*37</f>
        <v>185.25662702636953</v>
      </c>
      <c r="O15" s="2"/>
      <c r="P15" s="9"/>
      <c r="Q15" s="2"/>
      <c r="R15" s="1"/>
    </row>
    <row r="16" spans="1:18" ht="12.75">
      <c r="A16" s="20">
        <v>4</v>
      </c>
      <c r="B16" s="29">
        <v>438733</v>
      </c>
      <c r="C16" s="29">
        <v>429230</v>
      </c>
      <c r="D16" s="29">
        <v>419613</v>
      </c>
      <c r="E16" s="35">
        <f aca="true" t="shared" si="0" ref="E16:E22">AVERAGE(B16:D16)</f>
        <v>429192</v>
      </c>
      <c r="F16" s="36">
        <f>E16-E13</f>
        <v>429176.6666666667</v>
      </c>
      <c r="G16" s="35">
        <f>F16/(Parameters!$B$9*Parameters!$B$20)</f>
        <v>660271.7948717949</v>
      </c>
      <c r="H16" s="37">
        <f>G16/(37000*60*Parameters!$B$26/1000)</f>
        <v>9.913990913990913</v>
      </c>
      <c r="I16" s="37">
        <f>H16/EXP(-0.693*Parameters!$D$24/(Parameters!$B$8*24))</f>
        <v>9.920990309217519</v>
      </c>
      <c r="J16" s="37">
        <f aca="true" t="shared" si="1" ref="J16:J22">I16*37</f>
        <v>367.0766414410482</v>
      </c>
      <c r="O16" s="2"/>
      <c r="P16" s="9"/>
      <c r="Q16" s="2"/>
      <c r="R16" s="1"/>
    </row>
    <row r="17" spans="1:18" ht="12.75">
      <c r="A17" s="20">
        <v>5</v>
      </c>
      <c r="B17" s="29">
        <v>661493</v>
      </c>
      <c r="C17" s="29">
        <v>580293</v>
      </c>
      <c r="D17" s="29">
        <v>623220</v>
      </c>
      <c r="E17" s="35">
        <f t="shared" si="0"/>
        <v>621668.6666666666</v>
      </c>
      <c r="F17" s="36">
        <f>E17-E13</f>
        <v>621653.3333333333</v>
      </c>
      <c r="G17" s="35">
        <f>F17/(Parameters!$B$9*Parameters!$B$20)</f>
        <v>956389.7435897434</v>
      </c>
      <c r="H17" s="37">
        <f>G17/(37000*60*Parameters!$B$26/1000)</f>
        <v>14.360206360206357</v>
      </c>
      <c r="I17" s="37">
        <f>H17/EXP(-0.693*Parameters!$D$24/(Parameters!$B$8*24))</f>
        <v>14.37034483629764</v>
      </c>
      <c r="J17" s="37">
        <f t="shared" si="1"/>
        <v>531.7027589430127</v>
      </c>
      <c r="O17" s="2"/>
      <c r="P17" s="9"/>
      <c r="Q17" s="2"/>
      <c r="R17" s="1"/>
    </row>
    <row r="18" spans="1:18" ht="12.75">
      <c r="A18" s="20">
        <v>6</v>
      </c>
      <c r="B18" s="29">
        <v>846619</v>
      </c>
      <c r="C18" s="29">
        <v>841413</v>
      </c>
      <c r="D18" s="29">
        <v>813926</v>
      </c>
      <c r="E18" s="35">
        <f t="shared" si="0"/>
        <v>833986</v>
      </c>
      <c r="F18" s="36">
        <f>E18-E13</f>
        <v>833970.6666666666</v>
      </c>
      <c r="G18" s="35">
        <f>F18/(Parameters!$B$9*Parameters!$B$20)</f>
        <v>1283031.7948717948</v>
      </c>
      <c r="H18" s="37">
        <f>G18/(37000*60*Parameters!$B$26/1000)</f>
        <v>19.264741664741663</v>
      </c>
      <c r="I18" s="37">
        <f>H18/EXP(-0.693*Parameters!$D$24/(Parameters!$B$8*24))</f>
        <v>19.27834280095611</v>
      </c>
      <c r="J18" s="37">
        <f t="shared" si="1"/>
        <v>713.298683635376</v>
      </c>
      <c r="O18" s="2"/>
      <c r="P18" s="9"/>
      <c r="Q18" s="2"/>
      <c r="R18" s="1"/>
    </row>
    <row r="19" spans="1:18" ht="12.75">
      <c r="A19" s="20">
        <v>7</v>
      </c>
      <c r="B19" s="29"/>
      <c r="C19" s="29">
        <v>1253153</v>
      </c>
      <c r="D19" s="29">
        <v>1353546</v>
      </c>
      <c r="E19" s="35">
        <f t="shared" si="0"/>
        <v>1303349.5</v>
      </c>
      <c r="F19" s="36">
        <f>E19-E13</f>
        <v>1303334.1666666667</v>
      </c>
      <c r="G19" s="35">
        <f>F19/(Parameters!$B$9*Parameters!$B$20)</f>
        <v>2005129.4871794872</v>
      </c>
      <c r="H19" s="37">
        <f>G19/(37000*60*Parameters!$B$26/1000)</f>
        <v>30.10704935704936</v>
      </c>
      <c r="I19" s="37">
        <f>H19/EXP(-0.693*Parameters!$D$24/(Parameters!$B$8*24))</f>
        <v>30.128305291151488</v>
      </c>
      <c r="J19" s="37">
        <f t="shared" si="1"/>
        <v>1114.747295772605</v>
      </c>
      <c r="O19" s="2"/>
      <c r="P19" s="9"/>
      <c r="Q19" s="2"/>
      <c r="R19" s="1"/>
    </row>
    <row r="20" spans="1:18" ht="12.75">
      <c r="A20" s="20">
        <v>8</v>
      </c>
      <c r="B20" s="29">
        <v>1343300</v>
      </c>
      <c r="C20" s="29">
        <v>1300600</v>
      </c>
      <c r="D20" s="29">
        <v>1281253</v>
      </c>
      <c r="E20" s="35">
        <f t="shared" si="0"/>
        <v>1308384.3333333333</v>
      </c>
      <c r="F20" s="36">
        <f>E20-E13</f>
        <v>1308369</v>
      </c>
      <c r="G20" s="35">
        <f>F20/(Parameters!$B$9*Parameters!$B$20)</f>
        <v>2012875.3846153845</v>
      </c>
      <c r="H20" s="37">
        <f>G20/(37000*60*Parameters!$B$26/1000)</f>
        <v>30.22335412335412</v>
      </c>
      <c r="I20" s="37">
        <f>H20/EXP(-0.693*Parameters!$D$24/(Parameters!$B$8*24))</f>
        <v>30.244692170001354</v>
      </c>
      <c r="J20" s="37">
        <f t="shared" si="1"/>
        <v>1119.05361029005</v>
      </c>
      <c r="O20" s="2"/>
      <c r="P20" s="9"/>
      <c r="Q20" s="2"/>
      <c r="R20" s="1"/>
    </row>
    <row r="21" spans="1:18" ht="12.75">
      <c r="A21" s="20">
        <v>9</v>
      </c>
      <c r="B21" s="29">
        <v>1504146</v>
      </c>
      <c r="C21" s="29">
        <v>1523706</v>
      </c>
      <c r="D21" s="29">
        <v>1570580</v>
      </c>
      <c r="E21" s="35">
        <f t="shared" si="0"/>
        <v>1532810.6666666667</v>
      </c>
      <c r="F21" s="36">
        <f>E21-E13</f>
        <v>1532795.3333333335</v>
      </c>
      <c r="G21" s="35">
        <f>F21/(Parameters!$B$9*Parameters!$B$20)</f>
        <v>2358146.666666667</v>
      </c>
      <c r="H21" s="37">
        <f>G21/(37000*60*Parameters!$B$26/1000)</f>
        <v>35.40760760760761</v>
      </c>
      <c r="I21" s="37">
        <f>H21/EXP(-0.693*Parameters!$D$24/(Parameters!$B$8*24))</f>
        <v>35.43260579873208</v>
      </c>
      <c r="J21" s="37">
        <f t="shared" si="1"/>
        <v>1311.0064145530869</v>
      </c>
      <c r="O21" s="2"/>
      <c r="P21" s="9"/>
      <c r="Q21" s="2"/>
      <c r="R21" s="1"/>
    </row>
    <row r="22" spans="1:18" ht="12.75">
      <c r="A22" s="20">
        <v>10</v>
      </c>
      <c r="B22" s="29">
        <v>1899833</v>
      </c>
      <c r="C22" s="29">
        <v>1742913</v>
      </c>
      <c r="D22" s="29">
        <v>1848446</v>
      </c>
      <c r="E22" s="35">
        <f t="shared" si="0"/>
        <v>1830397.3333333333</v>
      </c>
      <c r="F22" s="36">
        <f>E22-E13</f>
        <v>1830382</v>
      </c>
      <c r="G22" s="35">
        <f>F22/(Parameters!$B$9*Parameters!$B$20)</f>
        <v>2815972.3076923075</v>
      </c>
      <c r="H22" s="37">
        <f>G22/(37000*60*Parameters!$B$26/1000)</f>
        <v>42.28186648186648</v>
      </c>
      <c r="I22" s="37">
        <f>H22/EXP(-0.693*Parameters!$D$24/(Parameters!$B$8*24))</f>
        <v>42.311717981327455</v>
      </c>
      <c r="J22" s="37">
        <f t="shared" si="1"/>
        <v>1565.5335653091158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4">
      <selection activeCell="C25" sqref="C25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>
        <f>Parameters!$B$3</f>
        <v>37056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>
        <f>Parameters!$B$1</f>
        <v>37056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5</v>
      </c>
      <c r="C13" s="28">
        <v>10</v>
      </c>
      <c r="D13" s="28">
        <v>2</v>
      </c>
      <c r="E13" s="34">
        <f>AVERAGE(B13:D14)</f>
        <v>8</v>
      </c>
      <c r="F13" s="34">
        <v>0</v>
      </c>
      <c r="G13" s="40">
        <v>0</v>
      </c>
      <c r="H13" s="41">
        <v>0</v>
      </c>
      <c r="I13" s="40">
        <v>0</v>
      </c>
      <c r="J13" s="58">
        <f>I13*37</f>
        <v>0</v>
      </c>
    </row>
    <row r="14" spans="1:10" ht="12.75">
      <c r="A14" s="33">
        <v>2</v>
      </c>
      <c r="B14" s="28">
        <v>11</v>
      </c>
      <c r="C14" s="28">
        <v>11</v>
      </c>
      <c r="D14" s="28">
        <v>9</v>
      </c>
      <c r="E14" s="34"/>
      <c r="F14" s="34">
        <v>0</v>
      </c>
      <c r="G14" s="40">
        <v>0</v>
      </c>
      <c r="H14" s="41">
        <v>0</v>
      </c>
      <c r="I14" s="40">
        <v>0</v>
      </c>
      <c r="J14" s="58">
        <f aca="true" t="shared" si="0" ref="J14:J22">I14*37</f>
        <v>0</v>
      </c>
    </row>
    <row r="15" spans="1:10" ht="12.75">
      <c r="A15" s="20">
        <v>3</v>
      </c>
      <c r="B15" s="29">
        <v>23268</v>
      </c>
      <c r="C15" s="29">
        <v>24764</v>
      </c>
      <c r="D15" s="29">
        <v>25635</v>
      </c>
      <c r="E15" s="35">
        <f aca="true" t="shared" si="1" ref="E15:E22">AVERAGE(B15:D15)</f>
        <v>24555.666666666668</v>
      </c>
      <c r="F15" s="35">
        <f>E15-$E$13</f>
        <v>24547.666666666668</v>
      </c>
      <c r="G15" s="35">
        <f>F15/(Parameters!$B$9*Parameters!$B$20)</f>
        <v>37765.64102564102</v>
      </c>
      <c r="H15" s="42">
        <f>G15/(37000*60*Parameters!$B$27/1000)</f>
        <v>0.1701155001155001</v>
      </c>
      <c r="I15" s="42">
        <f>H15/EXP(-0.693*(Parameters!$D$25)/(Parameters!$B$8*24))</f>
        <v>0.17023614979603097</v>
      </c>
      <c r="J15" s="37">
        <f t="shared" si="0"/>
        <v>6.2987375424531455</v>
      </c>
    </row>
    <row r="16" spans="1:10" ht="12.75">
      <c r="A16" s="20">
        <v>4</v>
      </c>
      <c r="B16" s="29">
        <v>46436</v>
      </c>
      <c r="C16" s="29">
        <v>49500</v>
      </c>
      <c r="D16" s="29">
        <v>47128</v>
      </c>
      <c r="E16" s="35">
        <f t="shared" si="1"/>
        <v>47688</v>
      </c>
      <c r="F16" s="35">
        <f aca="true" t="shared" si="2" ref="F16:F22">E16-$E$13</f>
        <v>47680</v>
      </c>
      <c r="G16" s="35">
        <f>F16/(Parameters!$B$9*Parameters!$B$20)</f>
        <v>73353.84615384616</v>
      </c>
      <c r="H16" s="42">
        <f>G16/(37000*60*Parameters!$B$27/1000)</f>
        <v>0.33042273042273046</v>
      </c>
      <c r="I16" s="42">
        <f>H16/EXP(-0.693*(Parameters!$D$25)/(Parameters!$B$8*24))</f>
        <v>0.330657073541603</v>
      </c>
      <c r="J16" s="37">
        <f t="shared" si="0"/>
        <v>12.234311721039312</v>
      </c>
    </row>
    <row r="17" spans="1:10" ht="12.75">
      <c r="A17" s="20">
        <v>5</v>
      </c>
      <c r="B17" s="29">
        <v>46692</v>
      </c>
      <c r="C17" s="29">
        <v>67293</v>
      </c>
      <c r="D17" s="29">
        <v>56260</v>
      </c>
      <c r="E17" s="35">
        <f t="shared" si="1"/>
        <v>56748.333333333336</v>
      </c>
      <c r="F17" s="35">
        <f t="shared" si="2"/>
        <v>56740.333333333336</v>
      </c>
      <c r="G17" s="35">
        <f>F17/(Parameters!$B$9*Parameters!$B$20)</f>
        <v>87292.82051282052</v>
      </c>
      <c r="H17" s="42">
        <f>G17/(37000*60*Parameters!$B$27/1000)</f>
        <v>0.39321090321090324</v>
      </c>
      <c r="I17" s="42">
        <f>H17/EXP(-0.693*(Parameters!$D$25)/(Parameters!$B$8*24))</f>
        <v>0.3934897770925979</v>
      </c>
      <c r="J17" s="37">
        <f t="shared" si="0"/>
        <v>14.559121752426122</v>
      </c>
    </row>
    <row r="18" spans="1:10" ht="12.75">
      <c r="A18" s="20">
        <v>6</v>
      </c>
      <c r="B18" s="29">
        <v>61755</v>
      </c>
      <c r="C18" s="29">
        <v>60745</v>
      </c>
      <c r="D18" s="29">
        <v>70580</v>
      </c>
      <c r="E18" s="35">
        <f t="shared" si="1"/>
        <v>64360</v>
      </c>
      <c r="F18" s="35">
        <f t="shared" si="2"/>
        <v>64352</v>
      </c>
      <c r="G18" s="35">
        <f>F18/(Parameters!$B$9*Parameters!$B$20)</f>
        <v>99003.07692307692</v>
      </c>
      <c r="H18" s="42">
        <f>G18/(37000*60*Parameters!$B$27/1000)</f>
        <v>0.44595980595980594</v>
      </c>
      <c r="I18" s="42">
        <f>H18/EXP(-0.693*(Parameters!$D$25)/(Parameters!$B$8*24))</f>
        <v>0.4462760905316534</v>
      </c>
      <c r="J18" s="37">
        <f t="shared" si="0"/>
        <v>16.512215349671177</v>
      </c>
    </row>
    <row r="19" spans="1:10" ht="12.75">
      <c r="A19" s="20">
        <v>7</v>
      </c>
      <c r="B19" s="29">
        <v>144820</v>
      </c>
      <c r="C19" s="29"/>
      <c r="D19" s="29">
        <v>120999</v>
      </c>
      <c r="E19" s="35">
        <f t="shared" si="1"/>
        <v>132909.5</v>
      </c>
      <c r="F19" s="35">
        <f t="shared" si="2"/>
        <v>132901.5</v>
      </c>
      <c r="G19" s="35">
        <f>F19/(Parameters!$B$9*Parameters!$B$20)</f>
        <v>204463.84615384616</v>
      </c>
      <c r="H19" s="42">
        <f>G19/(37000*60*Parameters!$B$27/1000)</f>
        <v>0.921008316008316</v>
      </c>
      <c r="I19" s="42">
        <f>H19/EXP(-0.693*(Parameters!$D$25)/(Parameters!$B$8*24))</f>
        <v>0.9216615155052297</v>
      </c>
      <c r="J19" s="37">
        <f t="shared" si="0"/>
        <v>34.1014760736935</v>
      </c>
    </row>
    <row r="20" spans="1:10" ht="12.75">
      <c r="A20" s="20">
        <v>8</v>
      </c>
      <c r="B20" s="29">
        <v>108246</v>
      </c>
      <c r="C20" s="29">
        <v>111699</v>
      </c>
      <c r="D20" s="29">
        <v>120993</v>
      </c>
      <c r="E20" s="35">
        <f t="shared" si="1"/>
        <v>113646</v>
      </c>
      <c r="F20" s="35">
        <f t="shared" si="2"/>
        <v>113638</v>
      </c>
      <c r="G20" s="35">
        <f>F20/(Parameters!$B$9*Parameters!$B$20)</f>
        <v>174827.6923076923</v>
      </c>
      <c r="H20" s="42">
        <f>G20/(37000*60*Parameters!$B$27/1000)</f>
        <v>0.7875121275121275</v>
      </c>
      <c r="I20" s="42">
        <f>H20/EXP(-0.693*(Parameters!$D$25)/(Parameters!$B$8*24))</f>
        <v>0.7880706485553834</v>
      </c>
      <c r="J20" s="37">
        <f t="shared" si="0"/>
        <v>29.15861399654919</v>
      </c>
    </row>
    <row r="21" spans="1:10" ht="12.75">
      <c r="A21" s="20">
        <v>9</v>
      </c>
      <c r="B21" s="29">
        <v>129450</v>
      </c>
      <c r="C21" s="29"/>
      <c r="D21" s="29">
        <v>126733</v>
      </c>
      <c r="E21" s="35">
        <f t="shared" si="1"/>
        <v>128091.5</v>
      </c>
      <c r="F21" s="35">
        <f t="shared" si="2"/>
        <v>128083.5</v>
      </c>
      <c r="G21" s="35">
        <f>F21/(Parameters!$B$9*Parameters!$B$20)</f>
        <v>197051.53846153847</v>
      </c>
      <c r="H21" s="42">
        <f>G21/(37000*60*Parameters!$B$27/1000)</f>
        <v>0.8876195426195427</v>
      </c>
      <c r="I21" s="42">
        <f>H21/EXP(-0.693*(Parameters!$D$25)/(Parameters!$B$8*24))</f>
        <v>0.8882490620588488</v>
      </c>
      <c r="J21" s="37">
        <f t="shared" si="0"/>
        <v>32.865215296177404</v>
      </c>
    </row>
    <row r="22" spans="1:10" ht="12.75">
      <c r="A22" s="20">
        <v>10</v>
      </c>
      <c r="B22" s="29">
        <v>163573</v>
      </c>
      <c r="C22" s="29"/>
      <c r="D22" s="29">
        <v>169586</v>
      </c>
      <c r="E22" s="35">
        <f t="shared" si="1"/>
        <v>166579.5</v>
      </c>
      <c r="F22" s="35">
        <f t="shared" si="2"/>
        <v>166571.5</v>
      </c>
      <c r="G22" s="35">
        <f>F22/(Parameters!$B$9*Parameters!$B$20)</f>
        <v>256263.84615384616</v>
      </c>
      <c r="H22" s="42">
        <f>G22/(37000*60*Parameters!$B$27/1000)</f>
        <v>1.1543416493416494</v>
      </c>
      <c r="I22" s="42">
        <f>H22/EXP(-0.693*(Parameters!$D$25)/(Parameters!$B$8*24))</f>
        <v>1.1551603340066092</v>
      </c>
      <c r="J22" s="37">
        <f t="shared" si="0"/>
        <v>42.74093235824454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7">
      <selection activeCell="D10" sqref="D10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37056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185.25662702636953</v>
      </c>
      <c r="C15" s="46">
        <f>CellSuspension!J15/(CoulterSurvival!F15*Parameters!$B$14)*1000000</f>
        <v>3.6887933134266655</v>
      </c>
      <c r="D15" s="37">
        <f>CoulterSurvival!I37</f>
        <v>0.6582884500299221</v>
      </c>
      <c r="E15" s="37">
        <f>CoulterSurvival!J37</f>
        <v>0.736934553847966</v>
      </c>
    </row>
    <row r="16" spans="1:5" ht="12.75">
      <c r="A16" s="20">
        <v>4</v>
      </c>
      <c r="B16" s="46">
        <f>MediumActivity!J16</f>
        <v>367.0766414410482</v>
      </c>
      <c r="C16" s="46">
        <f>CellSuspension!J16/(CoulterSurvival!F16*Parameters!$B$14)*1000000</f>
        <v>7.804817582426303</v>
      </c>
      <c r="D16" s="37">
        <f>CoulterSurvival!I38</f>
        <v>0.4847396768402154</v>
      </c>
      <c r="E16" s="37">
        <f>CoulterSurvival!J38</f>
        <v>0.5911172863539103</v>
      </c>
    </row>
    <row r="17" spans="1:5" ht="12.75">
      <c r="A17" s="20">
        <v>5</v>
      </c>
      <c r="B17" s="46">
        <f>MediumActivity!J17</f>
        <v>531.7027589430127</v>
      </c>
      <c r="C17" s="46">
        <f>CellSuspension!J17/(CoulterSurvival!F17*Parameters!$B$14)*1000000</f>
        <v>8.736171945211291</v>
      </c>
      <c r="D17" s="37">
        <f>CoulterSurvival!I39</f>
        <v>0.5774985038898862</v>
      </c>
      <c r="E17" s="37">
        <f>CoulterSurvival!J39</f>
        <v>0.6623975758874592</v>
      </c>
    </row>
    <row r="18" spans="1:5" ht="12.75">
      <c r="A18" s="20">
        <v>6</v>
      </c>
      <c r="B18" s="46">
        <f>MediumActivity!J18</f>
        <v>713.298683635376</v>
      </c>
      <c r="C18" s="46">
        <f>CellSuspension!J18/(CoulterSurvival!F18*Parameters!$B$14)*1000000</f>
        <v>12.777055983753812</v>
      </c>
      <c r="D18" s="37">
        <f>CoulterSurvival!I40</f>
        <v>0.5086774386594852</v>
      </c>
      <c r="E18" s="37">
        <f>CoulterSurvival!J40</f>
        <v>0.7524017641827917</v>
      </c>
    </row>
    <row r="19" spans="1:5" ht="12.75">
      <c r="A19" s="20">
        <v>7</v>
      </c>
      <c r="B19" s="46">
        <f>MediumActivity!J19</f>
        <v>1114.747295772605</v>
      </c>
      <c r="C19" s="46">
        <f>CellSuspension!J19/(CoulterSurvival!F19*Parameters!$B$14)*1000000</f>
        <v>25.360542444491944</v>
      </c>
      <c r="D19" s="37">
        <f>CoulterSurvival!I41</f>
        <v>0.4757630161579892</v>
      </c>
      <c r="E19" s="37">
        <f>CoulterSurvival!J41</f>
        <v>0.6763288528655441</v>
      </c>
    </row>
    <row r="20" spans="1:5" ht="12.75">
      <c r="A20" s="20">
        <v>8</v>
      </c>
      <c r="B20" s="46">
        <f>MediumActivity!J20</f>
        <v>1119.05361029005</v>
      </c>
      <c r="C20" s="46">
        <f>CellSuspension!J20/(CoulterSurvival!F20*Parameters!$B$14)*1000000</f>
        <v>21.40029405755151</v>
      </c>
      <c r="D20" s="37">
        <f>CoulterSurvival!I42</f>
        <v>0.5685218432076602</v>
      </c>
      <c r="E20" s="37">
        <f>CoulterSurvival!J42</f>
        <v>0.7975940312307089</v>
      </c>
    </row>
    <row r="21" spans="1:5" ht="12.75">
      <c r="A21" s="20">
        <v>9</v>
      </c>
      <c r="B21" s="46">
        <f>MediumActivity!J21</f>
        <v>1311.0064145530869</v>
      </c>
      <c r="C21" s="46">
        <f>CellSuspension!J21/(CoulterSurvival!F21*Parameters!$B$14)*1000000</f>
        <v>26.22782663559593</v>
      </c>
      <c r="D21" s="37">
        <f>CoulterSurvival!I43</f>
        <v>0.5385996409335727</v>
      </c>
      <c r="E21" s="37">
        <f>CoulterSurvival!J43</f>
        <v>0.8216252130500281</v>
      </c>
    </row>
    <row r="22" spans="1:5" ht="12.75">
      <c r="A22" s="20">
        <v>10</v>
      </c>
      <c r="B22" s="46">
        <f>MediumActivity!J22</f>
        <v>1565.5335653091158</v>
      </c>
      <c r="C22" s="46">
        <f>CellSuspension!J22/(CoulterSurvival!F22*Parameters!$B$14)*1000000</f>
        <v>34.013156420694365</v>
      </c>
      <c r="D22" s="37">
        <f>CoulterSurvival!I44</f>
        <v>0.5026929982046678</v>
      </c>
      <c r="E22" s="37">
        <f>CoulterSurvival!J44</f>
        <v>0.7646939539244755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37056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185.25662702636953</v>
      </c>
      <c r="C15" s="46">
        <f>CellSuspension!J15/(CoulterSurvival!F15*Parameters!$B$14)*1000000</f>
        <v>3.6887933134266655</v>
      </c>
      <c r="D15" s="37">
        <f>CoulterSurvival!I37</f>
        <v>0.6582884500299221</v>
      </c>
      <c r="E15" s="37">
        <f>CoulterSurvival!J37</f>
        <v>0.736934553847966</v>
      </c>
    </row>
    <row r="16" spans="1:5" ht="12.75">
      <c r="A16" s="20">
        <v>4</v>
      </c>
      <c r="B16" s="46">
        <f>MediumActivity!J16</f>
        <v>367.0766414410482</v>
      </c>
      <c r="C16" s="46">
        <f>CellSuspension!J16/(CoulterSurvival!F16*Parameters!$B$14)*1000000</f>
        <v>7.804817582426303</v>
      </c>
      <c r="D16" s="37">
        <f>CoulterSurvival!I38</f>
        <v>0.4847396768402154</v>
      </c>
      <c r="E16" s="37">
        <f>CoulterSurvival!J38</f>
        <v>0.5911172863539103</v>
      </c>
    </row>
    <row r="17" spans="1:5" ht="12.75">
      <c r="A17" s="20">
        <v>5</v>
      </c>
      <c r="B17" s="46">
        <f>MediumActivity!J17</f>
        <v>531.7027589430127</v>
      </c>
      <c r="C17" s="46">
        <f>CellSuspension!J17/(CoulterSurvival!F17*Parameters!$B$14)*1000000</f>
        <v>8.736171945211291</v>
      </c>
      <c r="D17" s="37">
        <f>CoulterSurvival!I39</f>
        <v>0.5774985038898862</v>
      </c>
      <c r="E17" s="37">
        <f>CoulterSurvival!J39</f>
        <v>0.6623975758874592</v>
      </c>
    </row>
    <row r="18" spans="1:5" ht="12.75">
      <c r="A18" s="20">
        <v>6</v>
      </c>
      <c r="B18" s="46">
        <f>MediumActivity!J18</f>
        <v>713.298683635376</v>
      </c>
      <c r="C18" s="46">
        <f>CellSuspension!J18/(CoulterSurvival!F18*Parameters!$B$14)*1000000</f>
        <v>12.777055983753812</v>
      </c>
      <c r="D18" s="37">
        <f>CoulterSurvival!I40</f>
        <v>0.5086774386594852</v>
      </c>
      <c r="E18" s="37">
        <f>CoulterSurvival!J40</f>
        <v>0.7524017641827917</v>
      </c>
    </row>
    <row r="19" spans="1:5" ht="12.75">
      <c r="A19" s="20">
        <v>7</v>
      </c>
      <c r="B19" s="46">
        <f>MediumActivity!J19</f>
        <v>1114.747295772605</v>
      </c>
      <c r="C19" s="46">
        <f>CellSuspension!J19/(CoulterSurvival!F19*Parameters!$B$14)*1000000</f>
        <v>25.360542444491944</v>
      </c>
      <c r="D19" s="37">
        <f>CoulterSurvival!I41</f>
        <v>0.4757630161579892</v>
      </c>
      <c r="E19" s="37">
        <f>CoulterSurvival!J41</f>
        <v>0.6763288528655441</v>
      </c>
    </row>
    <row r="20" spans="1:5" ht="12.75">
      <c r="A20" s="20">
        <v>8</v>
      </c>
      <c r="B20" s="46">
        <f>MediumActivity!J20</f>
        <v>1119.05361029005</v>
      </c>
      <c r="C20" s="46">
        <f>CellSuspension!J20/(CoulterSurvival!F20*Parameters!$B$14)*1000000</f>
        <v>21.40029405755151</v>
      </c>
      <c r="D20" s="37">
        <f>CoulterSurvival!I42</f>
        <v>0.5685218432076602</v>
      </c>
      <c r="E20" s="37">
        <f>CoulterSurvival!J42</f>
        <v>0.7975940312307089</v>
      </c>
    </row>
    <row r="21" spans="1:5" ht="12.75">
      <c r="A21" s="20">
        <v>9</v>
      </c>
      <c r="B21" s="46">
        <f>MediumActivity!J21</f>
        <v>1311.0064145530869</v>
      </c>
      <c r="C21" s="46">
        <f>CellSuspension!J21/(CoulterSurvival!F21*Parameters!$B$14)*1000000</f>
        <v>26.22782663559593</v>
      </c>
      <c r="D21" s="37">
        <f>CoulterSurvival!I43</f>
        <v>0.5385996409335727</v>
      </c>
      <c r="E21" s="37">
        <f>CoulterSurvival!J43</f>
        <v>0.8216252130500281</v>
      </c>
    </row>
    <row r="22" spans="1:5" ht="12.75">
      <c r="A22" s="20">
        <v>10</v>
      </c>
      <c r="B22" s="46">
        <f>MediumActivity!J22</f>
        <v>1565.5335653091158</v>
      </c>
      <c r="C22" s="46">
        <f>CellSuspension!J22/(CoulterSurvival!F22*Parameters!$B$14)*1000000</f>
        <v>34.013156420694365</v>
      </c>
      <c r="D22" s="37">
        <f>CoulterSurvival!I44</f>
        <v>0.5026929982046678</v>
      </c>
      <c r="E22" s="37">
        <f>CoulterSurvival!J44</f>
        <v>0.7646939539244755</v>
      </c>
    </row>
    <row r="24" spans="1:4" ht="12.75">
      <c r="A24" s="20">
        <v>1</v>
      </c>
      <c r="B24" s="26"/>
      <c r="C24" s="34"/>
      <c r="D24" s="65"/>
    </row>
    <row r="25" spans="1:4" ht="12.75">
      <c r="A25" s="20">
        <v>2</v>
      </c>
      <c r="B25" s="26"/>
      <c r="C25" s="34"/>
      <c r="D25" s="65"/>
    </row>
    <row r="26" spans="1:5" ht="12.75">
      <c r="A26" s="20">
        <v>3</v>
      </c>
      <c r="B26" s="26"/>
      <c r="C26" s="35"/>
      <c r="D26" s="65"/>
      <c r="E26" s="65"/>
    </row>
    <row r="27" spans="1:5" ht="12.75">
      <c r="A27" s="20">
        <v>4</v>
      </c>
      <c r="B27" s="26"/>
      <c r="C27" s="35"/>
      <c r="D27" s="65"/>
      <c r="E27" s="65"/>
    </row>
    <row r="28" spans="1:5" ht="12.75">
      <c r="A28" s="20">
        <v>5</v>
      </c>
      <c r="B28" s="26"/>
      <c r="C28" s="35"/>
      <c r="D28" s="65"/>
      <c r="E28" s="65"/>
    </row>
    <row r="29" spans="1:5" ht="12.75">
      <c r="A29" s="20">
        <v>6</v>
      </c>
      <c r="B29" s="26"/>
      <c r="C29" s="35"/>
      <c r="D29" s="65"/>
      <c r="E29" s="65"/>
    </row>
    <row r="30" spans="1:5" ht="12.75">
      <c r="A30" s="20">
        <v>7</v>
      </c>
      <c r="B30" s="26"/>
      <c r="C30" s="35"/>
      <c r="D30" s="65"/>
      <c r="E30" s="65"/>
    </row>
    <row r="31" spans="1:5" ht="12.75">
      <c r="A31" s="20">
        <v>8</v>
      </c>
      <c r="B31" s="26"/>
      <c r="C31" s="35"/>
      <c r="D31" s="65"/>
      <c r="E31" s="65"/>
    </row>
    <row r="32" spans="1:5" ht="12.75">
      <c r="A32" s="20">
        <v>9</v>
      </c>
      <c r="B32" s="26"/>
      <c r="C32" s="35"/>
      <c r="D32" s="65"/>
      <c r="E32" s="65"/>
    </row>
    <row r="33" spans="1:5" ht="12.75">
      <c r="A33" s="20">
        <v>10</v>
      </c>
      <c r="B33" s="26"/>
      <c r="C33" s="35"/>
      <c r="D33" s="65"/>
      <c r="E33" s="65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2001-06-28T18:13:22Z</cp:lastPrinted>
  <dcterms:created xsi:type="dcterms:W3CDTF">2000-10-11T19:44:58Z</dcterms:created>
  <dcterms:modified xsi:type="dcterms:W3CDTF">2001-07-11T22:11:29Z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2.1</vt:lpwstr>
  </property>
</Properties>
</file>