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210" windowHeight="5070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  <sheet name="Summary (3 exp)" sheetId="7" r:id="rId7"/>
  </sheets>
  <definedNames/>
  <calcPr fullCalcOnLoad="1"/>
</workbook>
</file>

<file path=xl/comments7.xml><?xml version="1.0" encoding="utf-8"?>
<comments xmlns="http://schemas.openxmlformats.org/spreadsheetml/2006/main">
  <authors>
    <author>Roger W. Howell</author>
  </authors>
  <commentList>
    <comment ref="B9" authorId="0">
      <text>
        <r>
          <rPr>
            <b/>
            <sz val="8"/>
            <rFont val="Tahoma"/>
            <family val="0"/>
          </rPr>
          <t>Roger W. Howell: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<sst xmlns="http://schemas.openxmlformats.org/spreadsheetml/2006/main" count="174" uniqueCount="101">
  <si>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</si>
  <si>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</si>
  <si>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</si>
  <si>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</si>
  <si>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</si>
  <si>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</si>
  <si>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</si>
  <si>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</si>
  <si>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</si>
  <si>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</si>
  <si>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</si>
  <si>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</si>
  <si>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</si>
  <si>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</si>
  <si>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</si>
  <si>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</si>
  <si>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</si>
  <si>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</si>
  <si>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</si>
  <si>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</si>
  <si>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</si>
  <si>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</si>
  <si>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</si>
  <si>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</si>
  <si>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</si>
  <si>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</si>
  <si>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</si>
  <si>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</si>
  <si>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</si>
  <si>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</si>
  <si>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</si>
  <si>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</si>
  <si>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</si>
  <si>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</si>
  <si>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</si>
  <si>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</si>
  <si>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</si>
  <si>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</si>
  <si>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</si>
  <si>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</si>
  <si>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</si>
  <si>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</si>
  <si>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</si>
  <si>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</si>
  <si>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</si>
  <si>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</si>
  <si>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</si>
  <si>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</si>
  <si>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</si>
  <si>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</si>
  <si>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</si>
  <si>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</si>
  <si>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</si>
  <si>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</si>
  <si>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</si>
  <si>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</si>
  <si>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</si>
  <si>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</si>
  <si>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</si>
  <si>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</si>
  <si>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</si>
  <si>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</si>
  <si>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</si>
  <si>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</si>
  <si>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</si>
  <si>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</si>
  <si>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</si>
  <si>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</si>
  <si>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</si>
  <si>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</si>
  <si>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</si>
  <si>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</si>
  <si>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</si>
  <si>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</si>
  <si>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</si>
  <si>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</si>
  <si>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</si>
  <si>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</si>
  <si>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</si>
  <si>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</si>
  <si>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</si>
  <si>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</si>
  <si>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</si>
  <si>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</si>
  <si>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</si>
  <si>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</si>
  <si>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</si>
  <si>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</si>
  <si>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</si>
  <si>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</si>
  <si>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 Lenarczyk</t>
  </si>
  <si>
    <t>V79</t>
  </si>
  <si>
    <t>None</t>
  </si>
  <si>
    <t>H-3</t>
  </si>
  <si>
    <t>H-3 thymidine</t>
  </si>
  <si>
    <t>EcoLume</t>
  </si>
  <si>
    <t>Beckman LS5000TD</t>
  </si>
  <si>
    <t>EXP: 5/21/2001</t>
  </si>
  <si>
    <t>Exp.#</t>
  </si>
  <si>
    <t>Dec., 14, 2001</t>
  </si>
  <si>
    <t>NEN/3106-427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</si>
</sst>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m/dd/yy"/>
    <numFmt numFmtId="179" formatCode="0_);[Red]\(0\)"/>
    <numFmt numFmtId="180" formatCode="0.E+00"/>
  </numFmts>
  <fonts count="29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5"/>
      <name val="Arial"/>
      <family val="2"/>
    </font>
    <font>
      <sz val="10"/>
      <color indexed="14"/>
      <name val="Arial"/>
      <family val="2"/>
    </font>
    <font>
      <sz val="10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 quotePrefix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5" fontId="0" fillId="0" borderId="3" xfId="0" applyNumberFormat="1" applyBorder="1" applyAlignment="1" applyProtection="1">
      <alignment horizontal="left"/>
      <protection locked="0"/>
    </xf>
    <xf numFmtId="17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5" fontId="24" fillId="0" borderId="0" xfId="0" applyNumberFormat="1" applyFont="1" applyAlignment="1">
      <alignment/>
    </xf>
    <xf numFmtId="15" fontId="2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39782702"/>
        <c:axId val="45391127"/>
      </c:scatterChart>
      <c:valAx>
        <c:axId val="39782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1127"/>
        <c:crossesAt val="0.001"/>
        <c:crossBetween val="midCat"/>
        <c:dispUnits/>
      </c:valAx>
      <c:valAx>
        <c:axId val="453911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827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29334796"/>
        <c:axId val="44997405"/>
      </c:scatterChart>
      <c:valAx>
        <c:axId val="2933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97405"/>
        <c:crosses val="autoZero"/>
        <c:crossBetween val="midCat"/>
        <c:dispUnits/>
      </c:valAx>
      <c:valAx>
        <c:axId val="449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347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0.08872460576693979</c:v>
                </c:pt>
                <c:pt idx="3">
                  <c:v>0.27236477472383647</c:v>
                </c:pt>
                <c:pt idx="4">
                  <c:v>0.2901642484303077</c:v>
                </c:pt>
                <c:pt idx="5">
                  <c:v>0.614206730209752</c:v>
                </c:pt>
                <c:pt idx="6">
                  <c:v>0.969224856106775</c:v>
                </c:pt>
                <c:pt idx="7">
                  <c:v>1.3487677618542158</c:v>
                </c:pt>
                <c:pt idx="8">
                  <c:v>1.1908696571389896</c:v>
                </c:pt>
                <c:pt idx="9">
                  <c:v>1.447750555296583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1.1647058823529413</c:v>
                </c:pt>
                <c:pt idx="3">
                  <c:v>0.6901960784313724</c:v>
                </c:pt>
                <c:pt idx="4">
                  <c:v>0.7137254901960783</c:v>
                </c:pt>
                <c:pt idx="5">
                  <c:v>0.584313725490196</c:v>
                </c:pt>
                <c:pt idx="6">
                  <c:v>0.5411764705882353</c:v>
                </c:pt>
                <c:pt idx="7">
                  <c:v>0.4862745098039217</c:v>
                </c:pt>
                <c:pt idx="8">
                  <c:v>0.5921568627450982</c:v>
                </c:pt>
                <c:pt idx="9">
                  <c:v>0.6823529411764706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0.08872460576693979</c:v>
                </c:pt>
                <c:pt idx="3">
                  <c:v>0.27236477472383647</c:v>
                </c:pt>
                <c:pt idx="4">
                  <c:v>0.2901642484303077</c:v>
                </c:pt>
                <c:pt idx="5">
                  <c:v>0.614206730209752</c:v>
                </c:pt>
                <c:pt idx="6">
                  <c:v>0.969224856106775</c:v>
                </c:pt>
                <c:pt idx="7">
                  <c:v>1.3487677618542158</c:v>
                </c:pt>
                <c:pt idx="8">
                  <c:v>1.1908696571389896</c:v>
                </c:pt>
                <c:pt idx="9">
                  <c:v>1.447750555296583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1.009272288797176</c:v>
                </c:pt>
                <c:pt idx="3">
                  <c:v>0.6579829165028406</c:v>
                </c:pt>
                <c:pt idx="4">
                  <c:v>0.6730208974471702</c:v>
                </c:pt>
                <c:pt idx="5">
                  <c:v>0.5463098515356664</c:v>
                </c:pt>
                <c:pt idx="6">
                  <c:v>0.5312650509090397</c:v>
                </c:pt>
                <c:pt idx="7">
                  <c:v>0.4906418866759302</c:v>
                </c:pt>
                <c:pt idx="8">
                  <c:v>0.5993185772396087</c:v>
                </c:pt>
                <c:pt idx="9">
                  <c:v>0.6722297399949829</c:v>
                </c:pt>
              </c:numCache>
            </c:numRef>
          </c:yVal>
          <c:smooth val="0"/>
        </c:ser>
        <c:axId val="11617306"/>
        <c:axId val="53016723"/>
      </c:scatterChart>
      <c:valAx>
        <c:axId val="1161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16723"/>
        <c:crossesAt val="0.001"/>
        <c:crossBetween val="midCat"/>
        <c:dispUnits/>
      </c:valAx>
      <c:valAx>
        <c:axId val="530167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17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22.064727866969765</c:v>
                </c:pt>
                <c:pt idx="3">
                  <c:v>48.24261942188177</c:v>
                </c:pt>
                <c:pt idx="4">
                  <c:v>59.912048369167735</c:v>
                </c:pt>
                <c:pt idx="5">
                  <c:v>94.61046177104272</c:v>
                </c:pt>
                <c:pt idx="6">
                  <c:v>104.5121582424005</c:v>
                </c:pt>
                <c:pt idx="7">
                  <c:v>134.7414953622039</c:v>
                </c:pt>
                <c:pt idx="8">
                  <c:v>163.13610804803307</c:v>
                </c:pt>
                <c:pt idx="9">
                  <c:v>170.65645421497769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0.08872460576693979</c:v>
                </c:pt>
                <c:pt idx="3">
                  <c:v>0.27236477472383647</c:v>
                </c:pt>
                <c:pt idx="4">
                  <c:v>0.2901642484303077</c:v>
                </c:pt>
                <c:pt idx="5">
                  <c:v>0.614206730209752</c:v>
                </c:pt>
                <c:pt idx="6">
                  <c:v>0.969224856106775</c:v>
                </c:pt>
                <c:pt idx="7">
                  <c:v>1.3487677618542158</c:v>
                </c:pt>
                <c:pt idx="8">
                  <c:v>1.1908696571389896</c:v>
                </c:pt>
                <c:pt idx="9">
                  <c:v>1.447750555296583</c:v>
                </c:pt>
              </c:numCache>
            </c:numRef>
          </c:yVal>
          <c:smooth val="0"/>
        </c:ser>
        <c:axId val="36942296"/>
        <c:axId val="51790585"/>
      </c:scatterChart>
      <c:valAx>
        <c:axId val="3694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790585"/>
        <c:crosses val="autoZero"/>
        <c:crossBetween val="midCat"/>
        <c:dispUnits/>
      </c:valAx>
      <c:valAx>
        <c:axId val="51790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942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9875"/>
          <c:w val="0.840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v>21-May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exp"/>
            <c:forward val="1"/>
            <c:intercept val="1"/>
            <c:dispEq val="0"/>
            <c:dispRSqr val="0"/>
          </c:trendline>
          <c:xVal>
            <c:numRef>
              <c:f>'Summary (3 exp)'!$C$9:$C$18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0.2438599383944379</c:v>
                </c:pt>
                <c:pt idx="3">
                  <c:v>0.6663344312719615</c:v>
                </c:pt>
                <c:pt idx="4">
                  <c:v>0.4629998366933652</c:v>
                </c:pt>
                <c:pt idx="5">
                  <c:v>0.4044803912420381</c:v>
                </c:pt>
                <c:pt idx="6">
                  <c:v>0.9105162932060604</c:v>
                </c:pt>
                <c:pt idx="7">
                  <c:v>0.9118961587909353</c:v>
                </c:pt>
                <c:pt idx="8">
                  <c:v>1.3131335833204731</c:v>
                </c:pt>
                <c:pt idx="9">
                  <c:v>1.444581945779345</c:v>
                </c:pt>
              </c:numCache>
            </c:numRef>
          </c:xVal>
          <c:yVal>
            <c:numRef>
              <c:f>'Summary (3 exp)'!$E$9:$E$18</c:f>
              <c:numCache>
                <c:ptCount val="10"/>
                <c:pt idx="0">
                  <c:v>1</c:v>
                </c:pt>
                <c:pt idx="2">
                  <c:v>0.9755182372079606</c:v>
                </c:pt>
                <c:pt idx="3">
                  <c:v>0.8443451339345807</c:v>
                </c:pt>
                <c:pt idx="4">
                  <c:v>0.702532916548262</c:v>
                </c:pt>
                <c:pt idx="5">
                  <c:v>0.960621837172584</c:v>
                </c:pt>
                <c:pt idx="6">
                  <c:v>0.533166039009</c:v>
                </c:pt>
                <c:pt idx="7">
                  <c:v>0.722962753351491</c:v>
                </c:pt>
                <c:pt idx="8">
                  <c:v>0.5991598356117577</c:v>
                </c:pt>
                <c:pt idx="9">
                  <c:v>0.523149491624365</c:v>
                </c:pt>
              </c:numCache>
            </c:numRef>
          </c:yVal>
          <c:smooth val="0"/>
        </c:ser>
        <c:ser>
          <c:idx val="1"/>
          <c:order val="1"/>
          <c:tx>
            <c:v>3-May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exp"/>
            <c:forward val="1"/>
            <c:intercept val="1"/>
            <c:dispEq val="0"/>
            <c:dispRSqr val="0"/>
          </c:trendline>
          <c:xVal>
            <c:numRef>
              <c:f>'Summary (3 exp)'!$C$23:$C$32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0.27912640118298004</c:v>
                </c:pt>
                <c:pt idx="3">
                  <c:v>0.2628398836715035</c:v>
                </c:pt>
                <c:pt idx="4">
                  <c:v>0.35354309715938054</c:v>
                </c:pt>
                <c:pt idx="5">
                  <c:v>0.4832695161855115</c:v>
                </c:pt>
                <c:pt idx="6">
                  <c:v>1.228335919266792</c:v>
                </c:pt>
                <c:pt idx="7">
                  <c:v>1.4620320002948104</c:v>
                </c:pt>
                <c:pt idx="8">
                  <c:v>1.5929597145276764</c:v>
                </c:pt>
                <c:pt idx="9">
                  <c:v>1.257512695658633</c:v>
                </c:pt>
              </c:numCache>
            </c:numRef>
          </c:xVal>
          <c:yVal>
            <c:numRef>
              <c:f>'Summary (3 exp)'!$E$23:$E$32</c:f>
              <c:numCache>
                <c:ptCount val="10"/>
                <c:pt idx="0">
                  <c:v>1</c:v>
                </c:pt>
                <c:pt idx="2">
                  <c:v>0.7224880663377354</c:v>
                </c:pt>
                <c:pt idx="3">
                  <c:v>0.5895861956060462</c:v>
                </c:pt>
                <c:pt idx="4">
                  <c:v>0.503071083324116</c:v>
                </c:pt>
                <c:pt idx="5">
                  <c:v>0.6940216212794957</c:v>
                </c:pt>
                <c:pt idx="6">
                  <c:v>0.5322765200995639</c:v>
                </c:pt>
                <c:pt idx="7">
                  <c:v>0.70752997713719</c:v>
                </c:pt>
                <c:pt idx="8">
                  <c:v>0.5883019209160608</c:v>
                </c:pt>
                <c:pt idx="9">
                  <c:v>0.7991580391038766</c:v>
                </c:pt>
              </c:numCache>
            </c:numRef>
          </c:yVal>
          <c:smooth val="0"/>
        </c:ser>
        <c:ser>
          <c:idx val="2"/>
          <c:order val="2"/>
          <c:tx>
            <c:v>14-Dec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exp"/>
            <c:intercept val="1"/>
            <c:dispEq val="0"/>
            <c:dispRSqr val="0"/>
          </c:trendline>
          <c:xVal>
            <c:numRef>
              <c:f>'Summary (3 exp)'!$C$36:$C$45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0.09331036254063678</c:v>
                </c:pt>
                <c:pt idx="3">
                  <c:v>0.1686029684141709</c:v>
                </c:pt>
                <c:pt idx="4">
                  <c:v>0.339612252286819</c:v>
                </c:pt>
                <c:pt idx="5">
                  <c:v>0.5489016695553152</c:v>
                </c:pt>
                <c:pt idx="6">
                  <c:v>0.9727648610946114</c:v>
                </c:pt>
                <c:pt idx="7">
                  <c:v>1.7424215990657184</c:v>
                </c:pt>
                <c:pt idx="8">
                  <c:v>1.3064830891761958</c:v>
                </c:pt>
                <c:pt idx="9">
                  <c:v>2.4818075392302696</c:v>
                </c:pt>
              </c:numCache>
            </c:numRef>
          </c:xVal>
          <c:yVal>
            <c:numRef>
              <c:f>'Summary (3 exp)'!$E$36:$E$45</c:f>
              <c:numCache>
                <c:ptCount val="10"/>
                <c:pt idx="0">
                  <c:v>1</c:v>
                </c:pt>
                <c:pt idx="2">
                  <c:v>0.48723733381149875</c:v>
                </c:pt>
                <c:pt idx="3">
                  <c:v>0.6229331111707308</c:v>
                </c:pt>
                <c:pt idx="4">
                  <c:v>0.41453624586549054</c:v>
                </c:pt>
                <c:pt idx="5">
                  <c:v>0.31520724650495635</c:v>
                </c:pt>
                <c:pt idx="6">
                  <c:v>0.28322740112994343</c:v>
                </c:pt>
                <c:pt idx="7">
                  <c:v>0.19126909874379194</c:v>
                </c:pt>
                <c:pt idx="8">
                  <c:v>0.12310545255025485</c:v>
                </c:pt>
                <c:pt idx="9">
                  <c:v>0.1531847943942574</c:v>
                </c:pt>
              </c:numCache>
            </c:numRef>
          </c:yVal>
          <c:smooth val="0"/>
        </c:ser>
        <c:axId val="48874950"/>
        <c:axId val="51889103"/>
      </c:scatterChart>
      <c:valAx>
        <c:axId val="4887495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889103"/>
        <c:crossesAt val="0.001"/>
        <c:crossBetween val="midCat"/>
        <c:dispUnits/>
        <c:majorUnit val="0.5"/>
      </c:valAx>
      <c:valAx>
        <c:axId val="51889103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874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13275"/>
          <c:w val="0.40075"/>
          <c:h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0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985"/>
          <c:w val="0.84075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v>All 100%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intercept val="1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'Summary (3 exp)'!$N$7:$N$32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'Summary (3 exp)'!$O$7:$O$32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3308260"/>
        <c:axId val="50061461"/>
      </c:scatterChart>
      <c:valAx>
        <c:axId val="5330826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61461"/>
        <c:crossesAt val="0.001"/>
        <c:crossBetween val="midCat"/>
        <c:dispUnits/>
        <c:majorUnit val="0.5"/>
      </c:valAx>
      <c:valAx>
        <c:axId val="50061461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082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"/>
          <c:y val="0.14275"/>
          <c:w val="0.39925"/>
          <c:h val="0.0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11</xdr:col>
      <xdr:colOff>581025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819400" y="971550"/>
        <a:ext cx="2724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</xdr:row>
      <xdr:rowOff>152400</xdr:rowOff>
    </xdr:from>
    <xdr:to>
      <xdr:col>20</xdr:col>
      <xdr:colOff>304800</xdr:colOff>
      <xdr:row>20</xdr:row>
      <xdr:rowOff>57150</xdr:rowOff>
    </xdr:to>
    <xdr:graphicFrame>
      <xdr:nvGraphicFramePr>
        <xdr:cNvPr id="2" name="Chart 5"/>
        <xdr:cNvGraphicFramePr/>
      </xdr:nvGraphicFramePr>
      <xdr:xfrm>
        <a:off x="8058150" y="476250"/>
        <a:ext cx="27336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8" sqref="A8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37063</v>
      </c>
    </row>
    <row r="2" ht="12.75">
      <c r="B2" s="63"/>
    </row>
    <row r="3" spans="1:2" ht="12.75">
      <c r="A3" s="24" t="s">
        <v>15</v>
      </c>
      <c r="B3" s="67">
        <v>37063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100</v>
      </c>
    </row>
    <row r="12" spans="1:4" ht="12.75">
      <c r="A12" s="24" t="s">
        <v>27</v>
      </c>
      <c r="B12" s="52">
        <v>37041.5</v>
      </c>
      <c r="C12" s="20" t="s">
        <v>25</v>
      </c>
      <c r="D12" s="58">
        <v>37</v>
      </c>
    </row>
    <row r="13" spans="1:4" ht="12.75">
      <c r="A13" s="24" t="s">
        <v>28</v>
      </c>
      <c r="B13" s="54">
        <v>37063.8125</v>
      </c>
      <c r="C13" s="20" t="s">
        <v>89</v>
      </c>
      <c r="D13" s="59">
        <v>22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36.87486860540377</v>
      </c>
    </row>
    <row r="15" ht="12.75">
      <c r="B15" s="63"/>
    </row>
    <row r="16" spans="1:2" ht="12.75">
      <c r="A16" s="24" t="s">
        <v>35</v>
      </c>
      <c r="B16" s="49" t="s">
        <v>95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>
        <v>7</v>
      </c>
    </row>
    <row r="19" spans="1:2" ht="12.75">
      <c r="A19" s="24" t="s">
        <v>36</v>
      </c>
      <c r="B19" s="50" t="s">
        <v>96</v>
      </c>
    </row>
    <row r="20" spans="1:2" ht="12.75">
      <c r="A20" s="24" t="s">
        <v>37</v>
      </c>
      <c r="B20" s="51">
        <v>0.65</v>
      </c>
    </row>
    <row r="21" ht="12.75">
      <c r="B21" s="63"/>
    </row>
    <row r="22" spans="1:2" ht="12.75">
      <c r="A22" s="24" t="s">
        <v>23</v>
      </c>
      <c r="B22" s="53">
        <v>37063.822916666664</v>
      </c>
    </row>
    <row r="23" spans="1:4" ht="12.75">
      <c r="A23" s="24" t="s">
        <v>24</v>
      </c>
      <c r="B23" s="54">
        <v>37064.458333333336</v>
      </c>
      <c r="C23" s="20" t="s">
        <v>29</v>
      </c>
      <c r="D23" s="27">
        <v>15.25</v>
      </c>
    </row>
    <row r="24" spans="1:4" ht="12.75">
      <c r="A24" s="24" t="s">
        <v>69</v>
      </c>
      <c r="B24" s="54">
        <v>37036.743055555555</v>
      </c>
      <c r="C24" s="20" t="s">
        <v>30</v>
      </c>
      <c r="D24" s="27">
        <v>94</v>
      </c>
    </row>
    <row r="25" spans="1:4" ht="12.75">
      <c r="A25" s="24" t="s">
        <v>70</v>
      </c>
      <c r="B25" s="54">
        <v>37036.760416666664</v>
      </c>
      <c r="C25" s="20" t="s">
        <v>71</v>
      </c>
      <c r="D25" s="27">
        <v>79.25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3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2">
        <f>AVERAGE(D32:F32)</f>
        <v>8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5">
        <v>8</v>
      </c>
      <c r="E32" s="56">
        <v>8</v>
      </c>
      <c r="F32" s="57">
        <v>8</v>
      </c>
    </row>
    <row r="33" spans="1:2" ht="12.75">
      <c r="A33" s="24" t="s">
        <v>84</v>
      </c>
      <c r="B33" s="66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13" sqref="B1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>
        <f>Parameters!$B$3</f>
        <v>37063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37063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12</v>
      </c>
      <c r="C13" s="28">
        <v>12</v>
      </c>
      <c r="D13" s="28">
        <v>8</v>
      </c>
      <c r="E13" s="34">
        <f>AVERAGE(B13:D13,B14:D14)</f>
        <v>11.833333333333334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16</v>
      </c>
      <c r="C14" s="28">
        <v>13</v>
      </c>
      <c r="D14" s="28">
        <v>10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25302</v>
      </c>
      <c r="C15" s="29">
        <v>26307</v>
      </c>
      <c r="D15" s="29">
        <v>25827</v>
      </c>
      <c r="E15" s="35">
        <f>AVERAGE(B15:D15)</f>
        <v>25812</v>
      </c>
      <c r="F15" s="36">
        <f>(E15-E13)</f>
        <v>25800.166666666668</v>
      </c>
      <c r="G15" s="35">
        <f>F15/(Parameters!$B$9*Parameters!$B$20)</f>
        <v>39692.5641025641</v>
      </c>
      <c r="H15" s="37">
        <f>G15/(37000*60*Parameters!$B$26/1000)</f>
        <v>0.595984445984446</v>
      </c>
      <c r="I15" s="37">
        <f>H15/EXP(-0.693*Parameters!$D$24/(Parameters!$B$8*24))</f>
        <v>0.5963439964045882</v>
      </c>
      <c r="J15" s="37">
        <f>I15*37</f>
        <v>22.064727866969765</v>
      </c>
      <c r="O15" s="2"/>
      <c r="P15" s="9"/>
      <c r="Q15" s="2"/>
      <c r="R15" s="1"/>
    </row>
    <row r="16" spans="1:18" ht="12.75">
      <c r="A16" s="20">
        <v>4</v>
      </c>
      <c r="B16" s="29">
        <v>56520</v>
      </c>
      <c r="C16" s="29">
        <v>57720</v>
      </c>
      <c r="D16" s="29">
        <v>55025</v>
      </c>
      <c r="E16" s="35">
        <f aca="true" t="shared" si="0" ref="E16:E22">AVERAGE(B16:D16)</f>
        <v>56421.666666666664</v>
      </c>
      <c r="F16" s="36">
        <f>E16-E13</f>
        <v>56409.83333333333</v>
      </c>
      <c r="G16" s="35">
        <f>F16/(Parameters!$B$9*Parameters!$B$20)</f>
        <v>86784.35897435897</v>
      </c>
      <c r="H16" s="37">
        <f>G16/(37000*60*Parameters!$B$26/1000)</f>
        <v>1.303068453068453</v>
      </c>
      <c r="I16" s="37">
        <f>H16/EXP(-0.693*Parameters!$D$24/(Parameters!$B$8*24))</f>
        <v>1.3038545789697775</v>
      </c>
      <c r="J16" s="37">
        <f aca="true" t="shared" si="1" ref="J16:J22">I16*37</f>
        <v>48.24261942188177</v>
      </c>
      <c r="O16" s="2"/>
      <c r="P16" s="9"/>
      <c r="Q16" s="2"/>
      <c r="R16" s="1"/>
    </row>
    <row r="17" spans="1:18" ht="12.75">
      <c r="A17" s="20">
        <v>5</v>
      </c>
      <c r="B17" s="29">
        <v>63620</v>
      </c>
      <c r="C17" s="29">
        <v>71260</v>
      </c>
      <c r="D17" s="29">
        <v>75320</v>
      </c>
      <c r="E17" s="35">
        <f t="shared" si="0"/>
        <v>70066.66666666667</v>
      </c>
      <c r="F17" s="36">
        <f>E17-E13</f>
        <v>70054.83333333334</v>
      </c>
      <c r="G17" s="35">
        <f>F17/(Parameters!$B$9*Parameters!$B$20)</f>
        <v>107776.66666666667</v>
      </c>
      <c r="H17" s="37">
        <f>G17/(37000*60*Parameters!$B$26/1000)</f>
        <v>1.6182682682682683</v>
      </c>
      <c r="I17" s="37">
        <f>H17/EXP(-0.693*Parameters!$D$24/(Parameters!$B$8*24))</f>
        <v>1.6192445505180468</v>
      </c>
      <c r="J17" s="37">
        <f t="shared" si="1"/>
        <v>59.912048369167735</v>
      </c>
      <c r="O17" s="2"/>
      <c r="P17" s="9"/>
      <c r="Q17" s="2"/>
      <c r="R17" s="1"/>
    </row>
    <row r="18" spans="1:18" ht="12.75">
      <c r="A18" s="20">
        <v>6</v>
      </c>
      <c r="B18" s="29">
        <v>107693</v>
      </c>
      <c r="C18" s="29">
        <v>116799</v>
      </c>
      <c r="D18" s="29">
        <v>107426</v>
      </c>
      <c r="E18" s="35">
        <f t="shared" si="0"/>
        <v>110639.33333333333</v>
      </c>
      <c r="F18" s="36">
        <f>E18-E13</f>
        <v>110627.5</v>
      </c>
      <c r="G18" s="35">
        <f>F18/(Parameters!$B$9*Parameters!$B$20)</f>
        <v>170196.15384615384</v>
      </c>
      <c r="H18" s="37">
        <f>G18/(37000*60*Parameters!$B$26/1000)</f>
        <v>2.5554978054978053</v>
      </c>
      <c r="I18" s="37">
        <f>H18/EXP(-0.693*Parameters!$D$24/(Parameters!$B$8*24))</f>
        <v>2.557039507325479</v>
      </c>
      <c r="J18" s="37">
        <f t="shared" si="1"/>
        <v>94.61046177104272</v>
      </c>
      <c r="O18" s="2"/>
      <c r="P18" s="9"/>
      <c r="Q18" s="2"/>
      <c r="R18" s="1"/>
    </row>
    <row r="19" spans="1:18" ht="12.75">
      <c r="A19" s="20">
        <v>7</v>
      </c>
      <c r="B19" s="29">
        <v>131840</v>
      </c>
      <c r="C19" s="29">
        <v>122099</v>
      </c>
      <c r="D19" s="29">
        <v>112713</v>
      </c>
      <c r="E19" s="35">
        <f t="shared" si="0"/>
        <v>122217.33333333333</v>
      </c>
      <c r="F19" s="36">
        <f>E19-E13</f>
        <v>122205.5</v>
      </c>
      <c r="G19" s="35">
        <f>F19/(Parameters!$B$9*Parameters!$B$20)</f>
        <v>188008.46153846153</v>
      </c>
      <c r="H19" s="37">
        <f>G19/(37000*60*Parameters!$B$26/1000)</f>
        <v>2.8229498729498728</v>
      </c>
      <c r="I19" s="37">
        <f>H19/EXP(-0.693*Parameters!$D$24/(Parameters!$B$8*24))</f>
        <v>2.824652925470284</v>
      </c>
      <c r="J19" s="37">
        <f t="shared" si="1"/>
        <v>104.5121582424005</v>
      </c>
      <c r="O19" s="2"/>
      <c r="P19" s="9"/>
      <c r="Q19" s="2"/>
      <c r="R19" s="1"/>
    </row>
    <row r="20" spans="1:18" ht="12.75">
      <c r="A20" s="20">
        <v>8</v>
      </c>
      <c r="B20" s="29">
        <v>160500</v>
      </c>
      <c r="C20" s="29">
        <v>154653</v>
      </c>
      <c r="D20" s="29">
        <v>157540</v>
      </c>
      <c r="E20" s="35">
        <f t="shared" si="0"/>
        <v>157564.33333333334</v>
      </c>
      <c r="F20" s="36">
        <f>E20-E13</f>
        <v>157552.5</v>
      </c>
      <c r="G20" s="35">
        <f>F20/(Parameters!$B$9*Parameters!$B$20)</f>
        <v>242388.46153846153</v>
      </c>
      <c r="H20" s="37">
        <f>G20/(37000*60*Parameters!$B$26/1000)</f>
        <v>3.6394663894663895</v>
      </c>
      <c r="I20" s="37">
        <f>H20/EXP(-0.693*Parameters!$D$24/(Parameters!$B$8*24))</f>
        <v>3.6416620368163213</v>
      </c>
      <c r="J20" s="37">
        <f t="shared" si="1"/>
        <v>134.7414953622039</v>
      </c>
      <c r="O20" s="2"/>
      <c r="P20" s="9"/>
      <c r="Q20" s="2"/>
      <c r="R20" s="1"/>
    </row>
    <row r="21" spans="1:18" ht="12.75">
      <c r="A21" s="20">
        <v>9</v>
      </c>
      <c r="B21" s="29">
        <v>172913</v>
      </c>
      <c r="C21" s="29">
        <v>188666</v>
      </c>
      <c r="D21" s="29">
        <v>210719</v>
      </c>
      <c r="E21" s="35">
        <f t="shared" si="0"/>
        <v>190766</v>
      </c>
      <c r="F21" s="36">
        <f>E21-E13</f>
        <v>190754.16666666666</v>
      </c>
      <c r="G21" s="35">
        <f>F21/(Parameters!$B$9*Parameters!$B$20)</f>
        <v>293467.9487179487</v>
      </c>
      <c r="H21" s="37">
        <f>G21/(37000*60*Parameters!$B$26/1000)</f>
        <v>4.406425656425656</v>
      </c>
      <c r="I21" s="37">
        <f>H21/EXP(-0.693*Parameters!$D$24/(Parameters!$B$8*24))</f>
        <v>4.409084001298191</v>
      </c>
      <c r="J21" s="37">
        <f t="shared" si="1"/>
        <v>163.13610804803307</v>
      </c>
      <c r="O21" s="2"/>
      <c r="P21" s="9"/>
      <c r="Q21" s="2"/>
      <c r="R21" s="1"/>
    </row>
    <row r="22" spans="1:18" ht="12.75">
      <c r="A22" s="20">
        <v>10</v>
      </c>
      <c r="B22" s="29">
        <v>204693</v>
      </c>
      <c r="C22" s="29">
        <v>194426</v>
      </c>
      <c r="D22" s="29"/>
      <c r="E22" s="35">
        <f t="shared" si="0"/>
        <v>199559.5</v>
      </c>
      <c r="F22" s="36">
        <f>E22-E13</f>
        <v>199547.66666666666</v>
      </c>
      <c r="G22" s="35">
        <f>F22/(Parameters!$B$9*Parameters!$B$20)</f>
        <v>306996.41025641025</v>
      </c>
      <c r="H22" s="37">
        <f>G22/(37000*60*Parameters!$B$26/1000)</f>
        <v>4.60955570955571</v>
      </c>
      <c r="I22" s="37">
        <f>H22/EXP(-0.693*Parameters!$D$24/(Parameters!$B$8*24))</f>
        <v>4.612336600404802</v>
      </c>
      <c r="J22" s="37">
        <f t="shared" si="1"/>
        <v>170.65645421497769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2" sqref="D22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>
        <f>Parameters!$B$3</f>
        <v>37063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37063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13</v>
      </c>
      <c r="D13" s="28">
        <v>12</v>
      </c>
      <c r="E13" s="34">
        <f>AVERAGE(B13:D14)</f>
        <v>12.166666666666666</v>
      </c>
      <c r="F13" s="34">
        <v>0</v>
      </c>
      <c r="G13" s="40">
        <v>0</v>
      </c>
      <c r="H13" s="41">
        <v>0</v>
      </c>
      <c r="I13" s="40">
        <v>0</v>
      </c>
      <c r="J13" s="60">
        <f>I13*37</f>
        <v>0</v>
      </c>
    </row>
    <row r="14" spans="1:10" ht="12.75">
      <c r="A14" s="33">
        <v>2</v>
      </c>
      <c r="B14" s="28">
        <v>11</v>
      </c>
      <c r="C14" s="28">
        <v>8</v>
      </c>
      <c r="D14" s="28">
        <v>16</v>
      </c>
      <c r="E14" s="34"/>
      <c r="F14" s="34">
        <v>0</v>
      </c>
      <c r="G14" s="40">
        <v>0</v>
      </c>
      <c r="H14" s="41">
        <v>0</v>
      </c>
      <c r="I14" s="40">
        <v>0</v>
      </c>
      <c r="J14" s="60">
        <f aca="true" t="shared" si="0" ref="J14:J22">I14*37</f>
        <v>0</v>
      </c>
    </row>
    <row r="15" spans="1:10" ht="12.75">
      <c r="A15" s="20">
        <v>3</v>
      </c>
      <c r="B15" s="29">
        <v>665</v>
      </c>
      <c r="C15" s="29">
        <v>908</v>
      </c>
      <c r="D15" s="29">
        <v>1082</v>
      </c>
      <c r="E15" s="35">
        <f aca="true" t="shared" si="1" ref="E15:E22">AVERAGE(B15:D15)</f>
        <v>885</v>
      </c>
      <c r="F15" s="35">
        <f>E15-$E$13</f>
        <v>872.8333333333334</v>
      </c>
      <c r="G15" s="35">
        <f>F15/(Parameters!$B$9*Parameters!$B$20)</f>
        <v>1342.820512820513</v>
      </c>
      <c r="H15" s="42">
        <f>G15/(37000*60*Parameters!$B$27/1000)</f>
        <v>0.006048741048741049</v>
      </c>
      <c r="I15" s="42">
        <f>H15/EXP(-0.693*(Parameters!$D$25)/(Parameters!$B$8*24))</f>
        <v>0.006051817434077968</v>
      </c>
      <c r="J15" s="37">
        <f t="shared" si="0"/>
        <v>0.2239172450608848</v>
      </c>
    </row>
    <row r="16" spans="1:10" ht="12.75">
      <c r="A16" s="20">
        <v>4</v>
      </c>
      <c r="B16" s="29">
        <v>1847</v>
      </c>
      <c r="C16" s="29">
        <v>1277</v>
      </c>
      <c r="D16" s="29">
        <v>4219</v>
      </c>
      <c r="E16" s="35">
        <f t="shared" si="1"/>
        <v>2447.6666666666665</v>
      </c>
      <c r="F16" s="35">
        <f aca="true" t="shared" si="2" ref="F16:F22">E16-$E$13</f>
        <v>2435.5</v>
      </c>
      <c r="G16" s="35">
        <f>F16/(Parameters!$B$9*Parameters!$B$20)</f>
        <v>3746.9230769230767</v>
      </c>
      <c r="H16" s="42">
        <f>G16/(37000*60*Parameters!$B$27/1000)</f>
        <v>0.016878031878031878</v>
      </c>
      <c r="I16" s="42">
        <f>H16/EXP(-0.693*(Parameters!$D$25)/(Parameters!$B$8*24))</f>
        <v>0.01688661603287786</v>
      </c>
      <c r="J16" s="37">
        <f t="shared" si="0"/>
        <v>0.6248047932164809</v>
      </c>
    </row>
    <row r="17" spans="1:10" ht="12.75">
      <c r="A17" s="20">
        <v>5</v>
      </c>
      <c r="B17" s="29">
        <v>2163</v>
      </c>
      <c r="C17" s="29">
        <v>3312</v>
      </c>
      <c r="D17" s="29">
        <v>2431</v>
      </c>
      <c r="E17" s="35">
        <f t="shared" si="1"/>
        <v>2635.3333333333335</v>
      </c>
      <c r="F17" s="35">
        <f t="shared" si="2"/>
        <v>2623.166666666667</v>
      </c>
      <c r="G17" s="35">
        <f>F17/(Parameters!$B$9*Parameters!$B$20)</f>
        <v>4035.641025641026</v>
      </c>
      <c r="H17" s="42">
        <f>G17/(37000*60*Parameters!$B$27/1000)</f>
        <v>0.01817856317856318</v>
      </c>
      <c r="I17" s="42">
        <f>H17/EXP(-0.693*(Parameters!$D$25)/(Parameters!$B$8*24))</f>
        <v>0.01818780878269107</v>
      </c>
      <c r="J17" s="37">
        <f t="shared" si="0"/>
        <v>0.6729489249595696</v>
      </c>
    </row>
    <row r="18" spans="1:10" ht="12.75">
      <c r="A18" s="20">
        <v>6</v>
      </c>
      <c r="B18" s="29">
        <v>3679</v>
      </c>
      <c r="C18" s="29">
        <v>2605</v>
      </c>
      <c r="D18" s="29">
        <v>10553</v>
      </c>
      <c r="E18" s="35">
        <f t="shared" si="1"/>
        <v>5612.333333333333</v>
      </c>
      <c r="F18" s="35">
        <f t="shared" si="2"/>
        <v>5600.166666666666</v>
      </c>
      <c r="G18" s="35">
        <f>F18/(Parameters!$B$9*Parameters!$B$20)</f>
        <v>8615.641025641024</v>
      </c>
      <c r="H18" s="42">
        <f>G18/(37000*60*Parameters!$B$27/1000)</f>
        <v>0.0388091938091938</v>
      </c>
      <c r="I18" s="42">
        <f>H18/EXP(-0.693*(Parameters!$D$25)/(Parameters!$B$8*24))</f>
        <v>0.038828932137188035</v>
      </c>
      <c r="J18" s="37">
        <f t="shared" si="0"/>
        <v>1.4366704890759574</v>
      </c>
    </row>
    <row r="19" spans="1:10" ht="12.75">
      <c r="A19" s="20">
        <v>7</v>
      </c>
      <c r="B19" s="29">
        <v>10244</v>
      </c>
      <c r="C19" s="29">
        <v>9923</v>
      </c>
      <c r="D19" s="29">
        <v>5119</v>
      </c>
      <c r="E19" s="35">
        <f t="shared" si="1"/>
        <v>8428.666666666666</v>
      </c>
      <c r="F19" s="35">
        <f t="shared" si="2"/>
        <v>8416.5</v>
      </c>
      <c r="G19" s="35">
        <f>F19/(Parameters!$B$9*Parameters!$B$20)</f>
        <v>12948.461538461537</v>
      </c>
      <c r="H19" s="42">
        <f>G19/(37000*60*Parameters!$B$27/1000)</f>
        <v>0.05832640332640332</v>
      </c>
      <c r="I19" s="42">
        <f>H19/EXP(-0.693*(Parameters!$D$25)/(Parameters!$B$8*24))</f>
        <v>0.05835606809308827</v>
      </c>
      <c r="J19" s="37">
        <f t="shared" si="0"/>
        <v>2.159174519444266</v>
      </c>
    </row>
    <row r="20" spans="1:10" ht="12.75">
      <c r="A20" s="20">
        <v>8</v>
      </c>
      <c r="B20" s="29">
        <v>10375</v>
      </c>
      <c r="C20" s="29">
        <v>12908</v>
      </c>
      <c r="D20" s="29">
        <v>10940</v>
      </c>
      <c r="E20" s="35">
        <f t="shared" si="1"/>
        <v>11407.666666666666</v>
      </c>
      <c r="F20" s="35">
        <f t="shared" si="2"/>
        <v>11395.5</v>
      </c>
      <c r="G20" s="35">
        <f>F20/(Parameters!$B$9*Parameters!$B$20)</f>
        <v>17531.53846153846</v>
      </c>
      <c r="H20" s="42">
        <f>G20/(37000*60*Parameters!$B$27/1000)</f>
        <v>0.07897089397089396</v>
      </c>
      <c r="I20" s="42">
        <f>H20/EXP(-0.693*(Parameters!$D$25)/(Parameters!$B$8*24))</f>
        <v>0.07901105851063832</v>
      </c>
      <c r="J20" s="37">
        <f t="shared" si="0"/>
        <v>2.923409164893618</v>
      </c>
    </row>
    <row r="21" spans="1:10" ht="12.75">
      <c r="A21" s="20">
        <v>9</v>
      </c>
      <c r="B21" s="29">
        <v>13732</v>
      </c>
      <c r="C21" s="29">
        <v>8974</v>
      </c>
      <c r="D21" s="29">
        <v>7422</v>
      </c>
      <c r="E21" s="35">
        <f t="shared" si="1"/>
        <v>10042.666666666666</v>
      </c>
      <c r="F21" s="35">
        <f t="shared" si="2"/>
        <v>10030.5</v>
      </c>
      <c r="G21" s="35">
        <f>F21/(Parameters!$B$9*Parameters!$B$20)</f>
        <v>15431.538461538461</v>
      </c>
      <c r="H21" s="42">
        <f>G21/(37000*60*Parameters!$B$27/1000)</f>
        <v>0.0695114345114345</v>
      </c>
      <c r="I21" s="42">
        <f>H21/EXP(-0.693*(Parameters!$D$25)/(Parameters!$B$8*24))</f>
        <v>0.06954678797691699</v>
      </c>
      <c r="J21" s="37">
        <f t="shared" si="0"/>
        <v>2.573231155145929</v>
      </c>
    </row>
    <row r="22" spans="1:10" ht="12.75">
      <c r="A22" s="20">
        <v>10</v>
      </c>
      <c r="B22" s="29">
        <v>13837</v>
      </c>
      <c r="C22" s="29">
        <v>6521</v>
      </c>
      <c r="D22" s="29">
        <v>17261</v>
      </c>
      <c r="E22" s="35">
        <f t="shared" si="1"/>
        <v>12539.666666666666</v>
      </c>
      <c r="F22" s="35">
        <f t="shared" si="2"/>
        <v>12527.5</v>
      </c>
      <c r="G22" s="35">
        <f>F22/(Parameters!$B$9*Parameters!$B$20)</f>
        <v>19273.076923076922</v>
      </c>
      <c r="H22" s="42">
        <f>G22/(37000*60*Parameters!$B$27/1000)</f>
        <v>0.0868156618156618</v>
      </c>
      <c r="I22" s="42">
        <f>H22/EXP(-0.693*(Parameters!$D$25)/(Parameters!$B$8*24))</f>
        <v>0.0868598161986768</v>
      </c>
      <c r="J22" s="37">
        <f t="shared" si="0"/>
        <v>3.213813199351042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5">
      <selection activeCell="F35" sqref="F35"/>
    </sheetView>
  </sheetViews>
  <sheetFormatPr defaultColWidth="9.140625" defaultRowHeight="12.75"/>
  <cols>
    <col min="1" max="1" width="6.57421875" style="64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4" t="s">
        <v>45</v>
      </c>
      <c r="B3" s="20"/>
      <c r="C3" s="20">
        <f>Parameters!$B$3</f>
        <v>37063</v>
      </c>
      <c r="D3" s="20"/>
      <c r="E3" s="20"/>
      <c r="F3" s="20"/>
    </row>
    <row r="4" spans="1:6" ht="12.75">
      <c r="A4" s="64" t="s">
        <v>12</v>
      </c>
      <c r="B4" s="20"/>
      <c r="C4" s="43">
        <f>Parameters!$B$1</f>
        <v>37063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4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5">
        <v>1</v>
      </c>
      <c r="B13" s="28">
        <v>6003</v>
      </c>
      <c r="C13" s="28">
        <v>5803</v>
      </c>
      <c r="D13" s="28"/>
      <c r="E13" s="34">
        <f>IF(Parameters!$B$33="Yes",AVERAGE(G13:J13),AVERAGE(B13:D13))</f>
        <v>5903</v>
      </c>
      <c r="F13" s="34">
        <f>IF(Parameters!$B$33="Yes",E13*10000,(E13-Parameters!$B$31)*Parameters!$B$32*(100/Parameters!$B$29)*(500/Parameters!$B$30))</f>
        <v>2358000</v>
      </c>
      <c r="G13" s="26"/>
      <c r="H13" s="26"/>
      <c r="I13" s="26"/>
      <c r="J13" s="26"/>
    </row>
    <row r="14" spans="1:10" ht="12.75">
      <c r="A14" s="65">
        <v>2</v>
      </c>
      <c r="B14" s="28">
        <v>5067</v>
      </c>
      <c r="C14" s="28">
        <v>5096</v>
      </c>
      <c r="D14" s="28">
        <v>4980</v>
      </c>
      <c r="E14" s="34">
        <f>IF(Parameters!$B$33="Yes",AVERAGE(G14:J14),AVERAGE(B14:D14))</f>
        <v>5047.666666666667</v>
      </c>
      <c r="F14" s="34">
        <f>IF(Parameters!$B$33="Yes",E14*10000,(E14-Parameters!$B$31)*Parameters!$B$32*(100/Parameters!$B$29)*(500/Parameters!$B$30))</f>
        <v>2015866.6666666667</v>
      </c>
      <c r="G14" s="26"/>
      <c r="H14" s="26"/>
      <c r="I14" s="26"/>
      <c r="J14" s="26"/>
    </row>
    <row r="15" spans="1:10" ht="12.75">
      <c r="A15" s="64">
        <v>3</v>
      </c>
      <c r="B15" s="29">
        <v>6270</v>
      </c>
      <c r="C15" s="29">
        <v>6373</v>
      </c>
      <c r="D15" s="29">
        <v>6309</v>
      </c>
      <c r="E15" s="35">
        <f>IF(Parameters!$B$33="Yes",AVERAGE(G15:J15),AVERAGE(B15:D15))</f>
        <v>6317.333333333333</v>
      </c>
      <c r="F15" s="35">
        <f>IF(Parameters!$B$33="Yes",E15*10000,(E15-Parameters!$B$31)*Parameters!$B$32*(100/Parameters!$B$29)*(500/Parameters!$B$30))</f>
        <v>2523733.333333333</v>
      </c>
      <c r="G15" s="26"/>
      <c r="H15" s="26"/>
      <c r="I15" s="26"/>
      <c r="J15" s="26"/>
    </row>
    <row r="16" spans="1:10" ht="12.75">
      <c r="A16" s="64">
        <v>4</v>
      </c>
      <c r="B16" s="29">
        <v>5934</v>
      </c>
      <c r="C16" s="29">
        <v>5676</v>
      </c>
      <c r="D16" s="29">
        <v>5619</v>
      </c>
      <c r="E16" s="35">
        <f>IF(Parameters!$B$33="Yes",AVERAGE(G16:J16),AVERAGE(B16:D16))</f>
        <v>5743</v>
      </c>
      <c r="F16" s="35">
        <f>IF(Parameters!$B$33="Yes",E16*10000,(E16-Parameters!$B$31)*Parameters!$B$32*(100/Parameters!$B$29)*(500/Parameters!$B$30))</f>
        <v>2294000</v>
      </c>
      <c r="G16" s="26"/>
      <c r="H16" s="26"/>
      <c r="I16" s="26"/>
      <c r="J16" s="26"/>
    </row>
    <row r="17" spans="1:10" ht="12.75">
      <c r="A17" s="64">
        <v>5</v>
      </c>
      <c r="B17" s="29">
        <v>5904</v>
      </c>
      <c r="C17" s="29">
        <v>5828</v>
      </c>
      <c r="D17" s="29">
        <v>5686</v>
      </c>
      <c r="E17" s="35">
        <f>IF(Parameters!$B$33="Yes",AVERAGE(G17:J17),AVERAGE(B17:D17))</f>
        <v>5806</v>
      </c>
      <c r="F17" s="35">
        <f>IF(Parameters!$B$33="Yes",E17*10000,(E17-Parameters!$B$31)*Parameters!$B$32*(100/Parameters!$B$29)*(500/Parameters!$B$30))</f>
        <v>2319200</v>
      </c>
      <c r="G17" s="26"/>
      <c r="H17" s="26"/>
      <c r="I17" s="26"/>
      <c r="J17" s="26"/>
    </row>
    <row r="18" spans="1:10" ht="12.75">
      <c r="A18" s="64">
        <v>6</v>
      </c>
      <c r="B18" s="29">
        <v>5903</v>
      </c>
      <c r="C18" s="29">
        <v>5821</v>
      </c>
      <c r="D18" s="29">
        <v>5843</v>
      </c>
      <c r="E18" s="35">
        <f>IF(Parameters!$B$33="Yes",AVERAGE(G18:J18),AVERAGE(B18:D18))</f>
        <v>5855.666666666667</v>
      </c>
      <c r="F18" s="35">
        <f>IF(Parameters!$B$33="Yes",E18*10000,(E18-Parameters!$B$31)*Parameters!$B$32*(100/Parameters!$B$29)*(500/Parameters!$B$30))</f>
        <v>2339066.666666667</v>
      </c>
      <c r="G18" s="26"/>
      <c r="H18" s="26"/>
      <c r="I18" s="26"/>
      <c r="J18" s="26"/>
    </row>
    <row r="19" spans="1:10" ht="12.75">
      <c r="A19" s="64">
        <v>7</v>
      </c>
      <c r="B19" s="29">
        <v>5438</v>
      </c>
      <c r="C19" s="29">
        <v>5627</v>
      </c>
      <c r="D19" s="29">
        <v>5667</v>
      </c>
      <c r="E19" s="35">
        <f>IF(Parameters!$B$33="Yes",AVERAGE(G19:J19),AVERAGE(B19:D19))</f>
        <v>5577.333333333333</v>
      </c>
      <c r="F19" s="35">
        <f>IF(Parameters!$B$33="Yes",E19*10000,(E19-Parameters!$B$31)*Parameters!$B$32*(100/Parameters!$B$29)*(500/Parameters!$B$30))</f>
        <v>2227733.333333333</v>
      </c>
      <c r="G19" s="26"/>
      <c r="H19" s="26"/>
      <c r="I19" s="26"/>
      <c r="J19" s="26"/>
    </row>
    <row r="20" spans="1:10" ht="12.75">
      <c r="A20" s="64">
        <v>8</v>
      </c>
      <c r="B20" s="29">
        <v>5456</v>
      </c>
      <c r="C20" s="29">
        <v>5370</v>
      </c>
      <c r="D20" s="29">
        <v>5454</v>
      </c>
      <c r="E20" s="35">
        <f>IF(Parameters!$B$33="Yes",AVERAGE(G20:J20),AVERAGE(B20:D20))</f>
        <v>5426.666666666667</v>
      </c>
      <c r="F20" s="35">
        <f>IF(Parameters!$B$33="Yes",E20*10000,(E20-Parameters!$B$31)*Parameters!$B$32*(100/Parameters!$B$29)*(500/Parameters!$B$30))</f>
        <v>2167466.666666667</v>
      </c>
      <c r="G20" s="26"/>
      <c r="H20" s="26"/>
      <c r="I20" s="26"/>
      <c r="J20" s="26"/>
    </row>
    <row r="21" spans="1:10" ht="12.75">
      <c r="A21" s="64">
        <v>9</v>
      </c>
      <c r="B21" s="29">
        <v>5410</v>
      </c>
      <c r="C21" s="29"/>
      <c r="D21" s="29"/>
      <c r="E21" s="35">
        <f>IF(Parameters!$B$33="Yes",AVERAGE(G21:J21),AVERAGE(B21:D21))</f>
        <v>5410</v>
      </c>
      <c r="F21" s="35">
        <f>IF(Parameters!$B$33="Yes",E21*10000,(E21-Parameters!$B$31)*Parameters!$B$32*(100/Parameters!$B$29)*(500/Parameters!$B$30))</f>
        <v>2160800</v>
      </c>
      <c r="G21" s="26"/>
      <c r="H21" s="26"/>
      <c r="I21" s="26"/>
      <c r="J21" s="26"/>
    </row>
    <row r="22" spans="1:10" ht="12.75">
      <c r="A22" s="64">
        <v>10</v>
      </c>
      <c r="B22" s="29">
        <v>5637</v>
      </c>
      <c r="C22" s="29">
        <v>5539</v>
      </c>
      <c r="D22" s="29">
        <v>5497</v>
      </c>
      <c r="E22" s="35">
        <f>IF(Parameters!$B$33="Yes",AVERAGE(G22:J22),AVERAGE(B22:D22))</f>
        <v>5557.666666666667</v>
      </c>
      <c r="F22" s="35">
        <f>IF(Parameters!$B$33="Yes",E22*10000,(E22-Parameters!$B$31)*Parameters!$B$32*(100/Parameters!$B$29)*(500/Parameters!$B$30))</f>
        <v>2219866.666666667</v>
      </c>
      <c r="G22" s="26"/>
      <c r="H22" s="26"/>
      <c r="I22" s="26"/>
      <c r="J22" s="26"/>
    </row>
    <row r="29" spans="1:10" ht="12.75">
      <c r="A29" s="64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5">
        <v>1</v>
      </c>
      <c r="B35" s="26">
        <v>200</v>
      </c>
      <c r="C35" s="34">
        <f>F13/(10000*200/B35)</f>
        <v>235.8</v>
      </c>
      <c r="D35" s="28">
        <v>100</v>
      </c>
      <c r="E35" s="28">
        <v>90</v>
      </c>
      <c r="F35" s="28"/>
      <c r="G35" s="34">
        <f>AVERAGE(D35:F36)</f>
        <v>85</v>
      </c>
      <c r="H35" s="44">
        <f>G35/AVERAGE($C$35,$C$36)*100</f>
        <v>38.867211315693204</v>
      </c>
      <c r="I35" s="61">
        <f>G35*200/B35/$G$35</f>
        <v>1</v>
      </c>
      <c r="J35" s="60">
        <f>(G35/AVERAGE(C35:C36))/($G$35/AVERAGE($C$35,$C$36))</f>
        <v>1</v>
      </c>
    </row>
    <row r="36" spans="1:10" ht="12.75">
      <c r="A36" s="65">
        <v>2</v>
      </c>
      <c r="B36" s="26">
        <v>200</v>
      </c>
      <c r="C36" s="34">
        <f aca="true" t="shared" si="0" ref="C36:C44">F14/(10000*200/B36)</f>
        <v>201.58666666666667</v>
      </c>
      <c r="D36" s="28">
        <v>78</v>
      </c>
      <c r="E36" s="28">
        <v>72</v>
      </c>
      <c r="F36" s="28"/>
      <c r="G36" s="34"/>
      <c r="H36" s="44"/>
      <c r="I36" s="45"/>
      <c r="J36" s="37"/>
    </row>
    <row r="37" spans="1:10" ht="12.75">
      <c r="A37" s="64">
        <v>3</v>
      </c>
      <c r="B37" s="26">
        <v>200</v>
      </c>
      <c r="C37" s="35">
        <f t="shared" si="0"/>
        <v>252.3733333333333</v>
      </c>
      <c r="D37" s="29">
        <v>97</v>
      </c>
      <c r="E37" s="29">
        <v>107</v>
      </c>
      <c r="F37" s="29">
        <v>93</v>
      </c>
      <c r="G37" s="35">
        <f aca="true" t="shared" si="1" ref="G37:G44">AVERAGE(D37:F37)</f>
        <v>99</v>
      </c>
      <c r="H37" s="46">
        <f aca="true" t="shared" si="2" ref="H37:H44">G37/C37*100</f>
        <v>39.227599323753175</v>
      </c>
      <c r="I37" s="37">
        <f aca="true" t="shared" si="3" ref="I37:I44">G37*200/B37/$G$35</f>
        <v>1.1647058823529413</v>
      </c>
      <c r="J37" s="37">
        <f>(G37/C37)/($G$35/AVERAGE($C$35,$C$36))</f>
        <v>1.009272288797176</v>
      </c>
    </row>
    <row r="38" spans="1:10" ht="12.75">
      <c r="A38" s="64">
        <v>4</v>
      </c>
      <c r="B38" s="26">
        <v>200</v>
      </c>
      <c r="C38" s="35">
        <f t="shared" si="0"/>
        <v>229.4</v>
      </c>
      <c r="D38" s="29">
        <v>58</v>
      </c>
      <c r="E38" s="29">
        <v>61</v>
      </c>
      <c r="F38" s="29">
        <v>57</v>
      </c>
      <c r="G38" s="35">
        <f t="shared" si="1"/>
        <v>58.666666666666664</v>
      </c>
      <c r="H38" s="46">
        <f t="shared" si="2"/>
        <v>25.573961057832022</v>
      </c>
      <c r="I38" s="37">
        <f t="shared" si="3"/>
        <v>0.6901960784313724</v>
      </c>
      <c r="J38" s="37">
        <f aca="true" t="shared" si="4" ref="J38:J44">(G38/C38)/($G$35/AVERAGE($C$35,$C$36))</f>
        <v>0.6579829165028406</v>
      </c>
    </row>
    <row r="39" spans="1:10" ht="12.75">
      <c r="A39" s="64">
        <v>5</v>
      </c>
      <c r="B39" s="26">
        <v>200</v>
      </c>
      <c r="C39" s="35">
        <f t="shared" si="0"/>
        <v>231.92</v>
      </c>
      <c r="D39" s="29">
        <v>68</v>
      </c>
      <c r="E39" s="29">
        <v>51</v>
      </c>
      <c r="F39" s="29">
        <v>63</v>
      </c>
      <c r="G39" s="35">
        <f t="shared" si="1"/>
        <v>60.666666666666664</v>
      </c>
      <c r="H39" s="46">
        <f t="shared" si="2"/>
        <v>26.15844544095665</v>
      </c>
      <c r="I39" s="37">
        <f t="shared" si="3"/>
        <v>0.7137254901960783</v>
      </c>
      <c r="J39" s="37">
        <f t="shared" si="4"/>
        <v>0.6730208974471702</v>
      </c>
    </row>
    <row r="40" spans="1:10" ht="12.75">
      <c r="A40" s="64">
        <v>6</v>
      </c>
      <c r="B40" s="26">
        <v>200</v>
      </c>
      <c r="C40" s="35">
        <f t="shared" si="0"/>
        <v>233.9066666666667</v>
      </c>
      <c r="D40" s="29">
        <v>61</v>
      </c>
      <c r="E40" s="29">
        <v>39</v>
      </c>
      <c r="F40" s="29">
        <v>49</v>
      </c>
      <c r="G40" s="35">
        <f t="shared" si="1"/>
        <v>49.666666666666664</v>
      </c>
      <c r="H40" s="46">
        <f t="shared" si="2"/>
        <v>21.233540443481726</v>
      </c>
      <c r="I40" s="37">
        <f t="shared" si="3"/>
        <v>0.584313725490196</v>
      </c>
      <c r="J40" s="37">
        <f t="shared" si="4"/>
        <v>0.5463098515356664</v>
      </c>
    </row>
    <row r="41" spans="1:10" ht="12.75">
      <c r="A41" s="64">
        <v>7</v>
      </c>
      <c r="B41" s="26">
        <v>200</v>
      </c>
      <c r="C41" s="35">
        <f t="shared" si="0"/>
        <v>222.7733333333333</v>
      </c>
      <c r="D41" s="29">
        <v>57</v>
      </c>
      <c r="E41" s="29">
        <v>42</v>
      </c>
      <c r="F41" s="29">
        <v>39</v>
      </c>
      <c r="G41" s="35">
        <f t="shared" si="1"/>
        <v>46</v>
      </c>
      <c r="H41" s="46">
        <f t="shared" si="2"/>
        <v>20.648790998324156</v>
      </c>
      <c r="I41" s="37">
        <f t="shared" si="3"/>
        <v>0.5411764705882353</v>
      </c>
      <c r="J41" s="37">
        <f t="shared" si="4"/>
        <v>0.5312650509090397</v>
      </c>
    </row>
    <row r="42" spans="1:10" ht="12.75">
      <c r="A42" s="64">
        <v>8</v>
      </c>
      <c r="B42" s="26">
        <v>200</v>
      </c>
      <c r="C42" s="35">
        <f t="shared" si="0"/>
        <v>216.7466666666667</v>
      </c>
      <c r="D42" s="29">
        <v>43</v>
      </c>
      <c r="E42" s="29">
        <v>47</v>
      </c>
      <c r="F42" s="29">
        <v>34</v>
      </c>
      <c r="G42" s="35">
        <f t="shared" si="1"/>
        <v>41.333333333333336</v>
      </c>
      <c r="H42" s="46">
        <f t="shared" si="2"/>
        <v>19.069881889763778</v>
      </c>
      <c r="I42" s="37">
        <f t="shared" si="3"/>
        <v>0.4862745098039217</v>
      </c>
      <c r="J42" s="37">
        <f t="shared" si="4"/>
        <v>0.4906418866759302</v>
      </c>
    </row>
    <row r="43" spans="1:10" ht="12.75">
      <c r="A43" s="64">
        <v>9</v>
      </c>
      <c r="B43" s="26">
        <v>200</v>
      </c>
      <c r="C43" s="35">
        <f t="shared" si="0"/>
        <v>216.08</v>
      </c>
      <c r="D43" s="29">
        <v>47</v>
      </c>
      <c r="E43" s="29">
        <v>55</v>
      </c>
      <c r="F43" s="29">
        <v>49</v>
      </c>
      <c r="G43" s="35">
        <f t="shared" si="1"/>
        <v>50.333333333333336</v>
      </c>
      <c r="H43" s="46">
        <f t="shared" si="2"/>
        <v>23.293841786992473</v>
      </c>
      <c r="I43" s="37">
        <f t="shared" si="3"/>
        <v>0.5921568627450982</v>
      </c>
      <c r="J43" s="37">
        <f t="shared" si="4"/>
        <v>0.5993185772396087</v>
      </c>
    </row>
    <row r="44" spans="1:10" ht="12.75">
      <c r="A44" s="64">
        <v>10</v>
      </c>
      <c r="B44" s="26">
        <v>200</v>
      </c>
      <c r="C44" s="35">
        <f t="shared" si="0"/>
        <v>221.9866666666667</v>
      </c>
      <c r="D44" s="29">
        <v>61</v>
      </c>
      <c r="E44" s="29">
        <v>61</v>
      </c>
      <c r="F44" s="29">
        <v>52</v>
      </c>
      <c r="G44" s="35">
        <f t="shared" si="1"/>
        <v>58</v>
      </c>
      <c r="H44" s="46">
        <f t="shared" si="2"/>
        <v>26.1276953570785</v>
      </c>
      <c r="I44" s="37">
        <f t="shared" si="3"/>
        <v>0.6823529411764706</v>
      </c>
      <c r="J44" s="37">
        <f t="shared" si="4"/>
        <v>0.6722297399949829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7">
      <selection activeCell="D13" sqref="D13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37063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60">
        <f>CoulterSurvival!I35</f>
        <v>1</v>
      </c>
      <c r="E13" s="60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60"/>
      <c r="E14" s="60"/>
    </row>
    <row r="15" spans="1:5" ht="12.75">
      <c r="A15" s="20">
        <v>3</v>
      </c>
      <c r="B15" s="46">
        <f>MediumActivity!J15</f>
        <v>22.064727866969765</v>
      </c>
      <c r="C15" s="46">
        <f>CellSuspension!J15/(CoulterSurvival!F15*Parameters!$B$14)*1000000</f>
        <v>0.08872460576693979</v>
      </c>
      <c r="D15" s="37">
        <f>CoulterSurvival!I37</f>
        <v>1.1647058823529413</v>
      </c>
      <c r="E15" s="37">
        <f>CoulterSurvival!J37</f>
        <v>1.009272288797176</v>
      </c>
    </row>
    <row r="16" spans="1:5" ht="12.75">
      <c r="A16" s="20">
        <v>4</v>
      </c>
      <c r="B16" s="46">
        <f>MediumActivity!J16</f>
        <v>48.24261942188177</v>
      </c>
      <c r="C16" s="46">
        <f>CellSuspension!J16/(CoulterSurvival!F16*Parameters!$B$14)*1000000</f>
        <v>0.27236477472383647</v>
      </c>
      <c r="D16" s="37">
        <f>CoulterSurvival!I38</f>
        <v>0.6901960784313724</v>
      </c>
      <c r="E16" s="37">
        <f>CoulterSurvival!J38</f>
        <v>0.6579829165028406</v>
      </c>
    </row>
    <row r="17" spans="1:5" ht="12.75">
      <c r="A17" s="20">
        <v>5</v>
      </c>
      <c r="B17" s="46">
        <f>MediumActivity!J17</f>
        <v>59.912048369167735</v>
      </c>
      <c r="C17" s="46">
        <f>CellSuspension!J17/(CoulterSurvival!F17*Parameters!$B$14)*1000000</f>
        <v>0.2901642484303077</v>
      </c>
      <c r="D17" s="37">
        <f>CoulterSurvival!I39</f>
        <v>0.7137254901960783</v>
      </c>
      <c r="E17" s="37">
        <f>CoulterSurvival!J39</f>
        <v>0.6730208974471702</v>
      </c>
    </row>
    <row r="18" spans="1:5" ht="12.75">
      <c r="A18" s="20">
        <v>6</v>
      </c>
      <c r="B18" s="46">
        <f>MediumActivity!J18</f>
        <v>94.61046177104272</v>
      </c>
      <c r="C18" s="46">
        <f>CellSuspension!J18/(CoulterSurvival!F18*Parameters!$B$14)*1000000</f>
        <v>0.614206730209752</v>
      </c>
      <c r="D18" s="37">
        <f>CoulterSurvival!I40</f>
        <v>0.584313725490196</v>
      </c>
      <c r="E18" s="37">
        <f>CoulterSurvival!J40</f>
        <v>0.5463098515356664</v>
      </c>
    </row>
    <row r="19" spans="1:5" ht="12.75">
      <c r="A19" s="20">
        <v>7</v>
      </c>
      <c r="B19" s="46">
        <f>MediumActivity!J19</f>
        <v>104.5121582424005</v>
      </c>
      <c r="C19" s="46">
        <f>CellSuspension!J19/(CoulterSurvival!F19*Parameters!$B$14)*1000000</f>
        <v>0.969224856106775</v>
      </c>
      <c r="D19" s="37">
        <f>CoulterSurvival!I41</f>
        <v>0.5411764705882353</v>
      </c>
      <c r="E19" s="37">
        <f>CoulterSurvival!J41</f>
        <v>0.5312650509090397</v>
      </c>
    </row>
    <row r="20" spans="1:5" ht="12.75">
      <c r="A20" s="20">
        <v>8</v>
      </c>
      <c r="B20" s="46">
        <f>MediumActivity!J20</f>
        <v>134.7414953622039</v>
      </c>
      <c r="C20" s="46">
        <f>CellSuspension!J20/(CoulterSurvival!F20*Parameters!$B$14)*1000000</f>
        <v>1.3487677618542158</v>
      </c>
      <c r="D20" s="37">
        <f>CoulterSurvival!I42</f>
        <v>0.4862745098039217</v>
      </c>
      <c r="E20" s="37">
        <f>CoulterSurvival!J42</f>
        <v>0.4906418866759302</v>
      </c>
    </row>
    <row r="21" spans="1:5" ht="12.75">
      <c r="A21" s="20">
        <v>9</v>
      </c>
      <c r="B21" s="46">
        <f>MediumActivity!J21</f>
        <v>163.13610804803307</v>
      </c>
      <c r="C21" s="46">
        <f>CellSuspension!J21/(CoulterSurvival!F21*Parameters!$B$14)*1000000</f>
        <v>1.1908696571389896</v>
      </c>
      <c r="D21" s="37">
        <f>CoulterSurvival!I43</f>
        <v>0.5921568627450982</v>
      </c>
      <c r="E21" s="37">
        <f>CoulterSurvival!J43</f>
        <v>0.5993185772396087</v>
      </c>
    </row>
    <row r="22" spans="1:5" ht="12.75">
      <c r="A22" s="20">
        <v>10</v>
      </c>
      <c r="B22" s="46">
        <f>MediumActivity!J22</f>
        <v>170.65645421497769</v>
      </c>
      <c r="C22" s="46">
        <f>CellSuspension!J22/(CoulterSurvival!F22*Parameters!$B$14)*1000000</f>
        <v>1.447750555296583</v>
      </c>
      <c r="D22" s="37">
        <f>CoulterSurvival!I44</f>
        <v>0.6823529411764706</v>
      </c>
      <c r="E22" s="37">
        <f>CoulterSurvival!J44</f>
        <v>0.6722297399949829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D1">
      <selection activeCell="D3" sqref="D3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37063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60">
        <f>CoulterSurvival!I35</f>
        <v>1</v>
      </c>
      <c r="E13" s="60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60"/>
      <c r="E14" s="60"/>
    </row>
    <row r="15" spans="1:5" ht="12.75">
      <c r="A15" s="20">
        <v>3</v>
      </c>
      <c r="B15" s="46">
        <f>MediumActivity!J15</f>
        <v>22.064727866969765</v>
      </c>
      <c r="C15" s="46">
        <f>CellSuspension!J15/(CoulterSurvival!F15*Parameters!$B$14)*1000000</f>
        <v>0.08872460576693979</v>
      </c>
      <c r="D15" s="37">
        <f>CoulterSurvival!I37</f>
        <v>1.1647058823529413</v>
      </c>
      <c r="E15" s="37">
        <f>CoulterSurvival!J37</f>
        <v>1.009272288797176</v>
      </c>
    </row>
    <row r="16" spans="1:5" ht="12.75">
      <c r="A16" s="20">
        <v>4</v>
      </c>
      <c r="B16" s="46">
        <f>MediumActivity!J16</f>
        <v>48.24261942188177</v>
      </c>
      <c r="C16" s="46">
        <f>CellSuspension!J16/(CoulterSurvival!F16*Parameters!$B$14)*1000000</f>
        <v>0.27236477472383647</v>
      </c>
      <c r="D16" s="37">
        <f>CoulterSurvival!I38</f>
        <v>0.6901960784313724</v>
      </c>
      <c r="E16" s="37">
        <f>CoulterSurvival!J38</f>
        <v>0.6579829165028406</v>
      </c>
    </row>
    <row r="17" spans="1:5" ht="12.75">
      <c r="A17" s="20">
        <v>5</v>
      </c>
      <c r="B17" s="46">
        <f>MediumActivity!J17</f>
        <v>59.912048369167735</v>
      </c>
      <c r="C17" s="46">
        <f>CellSuspension!J17/(CoulterSurvival!F17*Parameters!$B$14)*1000000</f>
        <v>0.2901642484303077</v>
      </c>
      <c r="D17" s="37">
        <f>CoulterSurvival!I39</f>
        <v>0.7137254901960783</v>
      </c>
      <c r="E17" s="37">
        <f>CoulterSurvival!J39</f>
        <v>0.6730208974471702</v>
      </c>
    </row>
    <row r="18" spans="1:5" ht="12.75">
      <c r="A18" s="20">
        <v>6</v>
      </c>
      <c r="B18" s="46">
        <f>MediumActivity!J18</f>
        <v>94.61046177104272</v>
      </c>
      <c r="C18" s="46">
        <f>CellSuspension!J18/(CoulterSurvival!F18*Parameters!$B$14)*1000000</f>
        <v>0.614206730209752</v>
      </c>
      <c r="D18" s="37">
        <f>CoulterSurvival!I40</f>
        <v>0.584313725490196</v>
      </c>
      <c r="E18" s="37">
        <f>CoulterSurvival!J40</f>
        <v>0.5463098515356664</v>
      </c>
    </row>
    <row r="19" spans="1:5" ht="12.75">
      <c r="A19" s="20">
        <v>7</v>
      </c>
      <c r="B19" s="46">
        <f>MediumActivity!J19</f>
        <v>104.5121582424005</v>
      </c>
      <c r="C19" s="46">
        <f>CellSuspension!J19/(CoulterSurvival!F19*Parameters!$B$14)*1000000</f>
        <v>0.969224856106775</v>
      </c>
      <c r="D19" s="37">
        <f>CoulterSurvival!I41</f>
        <v>0.5411764705882353</v>
      </c>
      <c r="E19" s="37">
        <f>CoulterSurvival!J41</f>
        <v>0.5312650509090397</v>
      </c>
    </row>
    <row r="20" spans="1:5" ht="12.75">
      <c r="A20" s="20">
        <v>8</v>
      </c>
      <c r="B20" s="46">
        <f>MediumActivity!J20</f>
        <v>134.7414953622039</v>
      </c>
      <c r="C20" s="46">
        <f>CellSuspension!J20/(CoulterSurvival!F20*Parameters!$B$14)*1000000</f>
        <v>1.3487677618542158</v>
      </c>
      <c r="D20" s="37">
        <f>CoulterSurvival!I42</f>
        <v>0.4862745098039217</v>
      </c>
      <c r="E20" s="37">
        <f>CoulterSurvival!J42</f>
        <v>0.4906418866759302</v>
      </c>
    </row>
    <row r="21" spans="1:5" ht="12.75">
      <c r="A21" s="20">
        <v>9</v>
      </c>
      <c r="B21" s="46">
        <f>MediumActivity!J21</f>
        <v>163.13610804803307</v>
      </c>
      <c r="C21" s="46">
        <f>CellSuspension!J21/(CoulterSurvival!F21*Parameters!$B$14)*1000000</f>
        <v>1.1908696571389896</v>
      </c>
      <c r="D21" s="37">
        <f>CoulterSurvival!I43</f>
        <v>0.5921568627450982</v>
      </c>
      <c r="E21" s="37">
        <f>CoulterSurvival!J43</f>
        <v>0.5993185772396087</v>
      </c>
    </row>
    <row r="22" spans="1:5" ht="12.75">
      <c r="A22" s="20">
        <v>10</v>
      </c>
      <c r="B22" s="46">
        <f>MediumActivity!J22</f>
        <v>170.65645421497769</v>
      </c>
      <c r="C22" s="46">
        <f>CellSuspension!J22/(CoulterSurvival!F22*Parameters!$B$14)*1000000</f>
        <v>1.447750555296583</v>
      </c>
      <c r="D22" s="37">
        <f>CoulterSurvival!I44</f>
        <v>0.6823529411764706</v>
      </c>
      <c r="E22" s="37">
        <f>CoulterSurvival!J44</f>
        <v>0.6722297399949829</v>
      </c>
    </row>
    <row r="39" spans="2:3" ht="12.75">
      <c r="B39" s="68"/>
      <c r="C39" s="68"/>
    </row>
    <row r="40" spans="2:3" ht="12.75">
      <c r="B40" s="68"/>
      <c r="C40" s="68"/>
    </row>
    <row r="41" spans="2:3" ht="12.75">
      <c r="B41" s="68"/>
      <c r="C41" s="68"/>
    </row>
    <row r="42" spans="2:3" ht="12.75">
      <c r="B42" s="68"/>
      <c r="C42" s="68"/>
    </row>
    <row r="43" spans="2:3" ht="12.75">
      <c r="B43" s="68"/>
      <c r="C43" s="68"/>
    </row>
    <row r="44" spans="2:3" ht="12.75">
      <c r="B44" s="68"/>
      <c r="C44" s="68"/>
    </row>
    <row r="45" spans="2:3" ht="12.75">
      <c r="B45" s="68"/>
      <c r="C45" s="68"/>
    </row>
    <row r="46" spans="2:3" ht="12.75">
      <c r="B46" s="68"/>
      <c r="C46" s="68"/>
    </row>
    <row r="47" spans="2:3" ht="12.75">
      <c r="B47" s="68"/>
      <c r="C47" s="68"/>
    </row>
    <row r="48" spans="2:3" ht="12.75">
      <c r="B48" s="68"/>
      <c r="C48" s="68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5"/>
  <sheetViews>
    <sheetView workbookViewId="0" topLeftCell="A1">
      <selection activeCell="S23" sqref="S23"/>
    </sheetView>
  </sheetViews>
  <sheetFormatPr defaultColWidth="9.140625" defaultRowHeight="12.75"/>
  <cols>
    <col min="1" max="1" width="6.28125" style="0" customWidth="1"/>
    <col min="2" max="2" width="11.28125" style="0" customWidth="1"/>
    <col min="3" max="3" width="10.140625" style="0" customWidth="1"/>
    <col min="4" max="4" width="6.57421875" style="0" customWidth="1"/>
    <col min="5" max="5" width="6.7109375" style="0" customWidth="1"/>
    <col min="6" max="6" width="1.28515625" style="0" customWidth="1"/>
    <col min="7" max="7" width="7.00390625" style="0" customWidth="1"/>
    <col min="8" max="8" width="6.421875" style="0" customWidth="1"/>
    <col min="9" max="9" width="6.57421875" style="0" customWidth="1"/>
    <col min="10" max="10" width="7.7109375" style="0" customWidth="1"/>
    <col min="11" max="11" width="4.421875" style="0" customWidth="1"/>
    <col min="13" max="13" width="9.7109375" style="0" bestFit="1" customWidth="1"/>
  </cols>
  <sheetData>
    <row r="3" spans="1:15" ht="12.75">
      <c r="A3" t="s">
        <v>1</v>
      </c>
      <c r="B3" t="s">
        <v>53</v>
      </c>
      <c r="C3" t="s">
        <v>54</v>
      </c>
      <c r="D3" t="s">
        <v>56</v>
      </c>
      <c r="E3" t="s">
        <v>56</v>
      </c>
      <c r="M3" t="s">
        <v>98</v>
      </c>
      <c r="N3" t="s">
        <v>54</v>
      </c>
      <c r="O3" t="s">
        <v>56</v>
      </c>
    </row>
    <row r="4" spans="2:15" ht="12.75">
      <c r="B4" t="s">
        <v>55</v>
      </c>
      <c r="C4" t="s">
        <v>13</v>
      </c>
      <c r="D4" t="s">
        <v>67</v>
      </c>
      <c r="E4" t="s">
        <v>68</v>
      </c>
      <c r="N4" t="s">
        <v>13</v>
      </c>
      <c r="O4" t="s">
        <v>68</v>
      </c>
    </row>
    <row r="7" spans="2:15" ht="12.75">
      <c r="B7" s="69" t="s">
        <v>97</v>
      </c>
      <c r="M7" s="76">
        <v>37032</v>
      </c>
      <c r="N7" s="74">
        <v>0</v>
      </c>
      <c r="O7" s="74">
        <v>1</v>
      </c>
    </row>
    <row r="8" spans="13:15" ht="12.75">
      <c r="M8" s="76">
        <v>37032</v>
      </c>
      <c r="N8" s="74">
        <v>0</v>
      </c>
      <c r="O8" s="74"/>
    </row>
    <row r="9" spans="1:23" ht="12.75">
      <c r="A9">
        <v>1</v>
      </c>
      <c r="B9" s="74">
        <v>0</v>
      </c>
      <c r="C9" s="74">
        <v>0</v>
      </c>
      <c r="D9" s="74">
        <v>1</v>
      </c>
      <c r="E9" s="74">
        <v>1</v>
      </c>
      <c r="M9" s="76">
        <v>37032</v>
      </c>
      <c r="N9" s="72">
        <v>0.2438599383944379</v>
      </c>
      <c r="O9" s="72">
        <v>0.9755182372079606</v>
      </c>
      <c r="V9" s="72">
        <v>0.2438599383944379</v>
      </c>
      <c r="W9" s="72">
        <v>0.9755182372079606</v>
      </c>
    </row>
    <row r="10" spans="1:23" ht="12.75">
      <c r="A10">
        <v>2</v>
      </c>
      <c r="B10" s="74">
        <v>0</v>
      </c>
      <c r="C10" s="74">
        <v>0</v>
      </c>
      <c r="D10" s="74"/>
      <c r="E10" s="74"/>
      <c r="M10" s="76">
        <v>37032</v>
      </c>
      <c r="N10" s="72">
        <v>0.6663344312719615</v>
      </c>
      <c r="O10" s="72">
        <v>0.8443451339345807</v>
      </c>
      <c r="V10" s="72">
        <v>0.6663344312719615</v>
      </c>
      <c r="W10" s="72">
        <v>0.8443451339345807</v>
      </c>
    </row>
    <row r="11" spans="1:23" ht="12.75">
      <c r="A11">
        <v>3</v>
      </c>
      <c r="B11" s="72">
        <v>19.36017249189259</v>
      </c>
      <c r="C11" s="72">
        <v>0.2438599383944379</v>
      </c>
      <c r="D11" s="72">
        <v>1.035294117647059</v>
      </c>
      <c r="E11" s="72">
        <v>0.9755182372079606</v>
      </c>
      <c r="M11" s="76">
        <v>37032</v>
      </c>
      <c r="N11" s="72">
        <v>0.4629998366933652</v>
      </c>
      <c r="O11" s="72">
        <v>0.702532916548262</v>
      </c>
      <c r="V11" s="72">
        <v>0.4629998366933652</v>
      </c>
      <c r="W11" s="72">
        <v>0.702532916548262</v>
      </c>
    </row>
    <row r="12" spans="1:23" ht="12.75">
      <c r="A12">
        <v>4</v>
      </c>
      <c r="B12" s="72">
        <v>28.160535920080676</v>
      </c>
      <c r="C12" s="72">
        <v>0.6663344312719615</v>
      </c>
      <c r="D12" s="72">
        <v>0.931764705882353</v>
      </c>
      <c r="E12" s="72">
        <v>0.8443451339345807</v>
      </c>
      <c r="M12" s="76">
        <v>37032</v>
      </c>
      <c r="N12" s="72">
        <v>0.4044803912420381</v>
      </c>
      <c r="O12" s="72">
        <v>0.960621837172584</v>
      </c>
      <c r="V12" s="72">
        <v>0.4044803912420381</v>
      </c>
      <c r="W12" s="72">
        <v>0.960621837172584</v>
      </c>
    </row>
    <row r="13" spans="1:23" ht="12.75">
      <c r="A13">
        <v>5</v>
      </c>
      <c r="B13" s="72">
        <v>36.54875640497429</v>
      </c>
      <c r="C13" s="72">
        <v>0.4629998366933652</v>
      </c>
      <c r="D13" s="72">
        <v>0.8094117647058825</v>
      </c>
      <c r="E13" s="72">
        <v>0.702532916548262</v>
      </c>
      <c r="M13" s="76">
        <v>37032</v>
      </c>
      <c r="N13" s="72">
        <v>0.9105162932060604</v>
      </c>
      <c r="O13" s="72">
        <v>0.533166039009</v>
      </c>
      <c r="V13" s="72">
        <v>0.9105162932060604</v>
      </c>
      <c r="W13" s="72">
        <v>0.533166039009</v>
      </c>
    </row>
    <row r="14" spans="1:23" ht="12.75">
      <c r="A14">
        <v>6</v>
      </c>
      <c r="B14" s="72">
        <v>47.62987213761765</v>
      </c>
      <c r="C14" s="72">
        <v>0.4044803912420381</v>
      </c>
      <c r="D14" s="72">
        <v>1.0070588235294118</v>
      </c>
      <c r="E14" s="72">
        <v>0.960621837172584</v>
      </c>
      <c r="M14" s="76">
        <v>37032</v>
      </c>
      <c r="N14" s="72">
        <v>0.9118961587909353</v>
      </c>
      <c r="O14" s="72">
        <v>0.722962753351491</v>
      </c>
      <c r="V14" s="72">
        <v>0.9118961587909353</v>
      </c>
      <c r="W14" s="72">
        <v>0.722962753351491</v>
      </c>
    </row>
    <row r="15" spans="1:23" ht="12.75">
      <c r="A15">
        <v>7</v>
      </c>
      <c r="B15" s="72">
        <v>61.53670373459113</v>
      </c>
      <c r="C15" s="72">
        <v>0.9105162932060604</v>
      </c>
      <c r="D15" s="72">
        <v>0.5317647058823529</v>
      </c>
      <c r="E15" s="72">
        <v>0.533166039009</v>
      </c>
      <c r="M15" s="76">
        <v>37032</v>
      </c>
      <c r="N15" s="72">
        <v>1.3131335833204731</v>
      </c>
      <c r="O15" s="72">
        <v>0.5991598356117577</v>
      </c>
      <c r="V15" s="72">
        <v>1.3131335833204731</v>
      </c>
      <c r="W15" s="72">
        <v>0.5991598356117577</v>
      </c>
    </row>
    <row r="16" spans="1:23" ht="12.75">
      <c r="A16">
        <v>8</v>
      </c>
      <c r="B16" s="72">
        <v>82.3986612667455</v>
      </c>
      <c r="C16" s="72">
        <v>0.9118961587909353</v>
      </c>
      <c r="D16" s="72">
        <v>0.7435294117647058</v>
      </c>
      <c r="E16" s="72">
        <v>0.722962753351491</v>
      </c>
      <c r="M16" s="76">
        <v>37032</v>
      </c>
      <c r="N16" s="72">
        <v>1.444581945779345</v>
      </c>
      <c r="O16" s="72">
        <v>0.523149491624365</v>
      </c>
      <c r="V16" s="72">
        <v>1.444581945779345</v>
      </c>
      <c r="W16" s="72">
        <v>0.523149491624365</v>
      </c>
    </row>
    <row r="17" spans="1:23" ht="12.75">
      <c r="A17">
        <v>9</v>
      </c>
      <c r="B17" s="72">
        <v>101.55561251481448</v>
      </c>
      <c r="C17" s="72">
        <v>1.3131335833204731</v>
      </c>
      <c r="D17" s="72">
        <v>0.5741176470588235</v>
      </c>
      <c r="E17" s="72">
        <v>0.5991598356117577</v>
      </c>
      <c r="M17" s="75">
        <v>37014</v>
      </c>
      <c r="N17" s="73">
        <v>0.27912640118298004</v>
      </c>
      <c r="O17" s="73">
        <v>0.7224880663377354</v>
      </c>
      <c r="P17" s="73"/>
      <c r="V17" s="73">
        <v>0.27912640118298004</v>
      </c>
      <c r="W17" s="73">
        <v>0.7224880663377354</v>
      </c>
    </row>
    <row r="18" spans="1:23" ht="12.75">
      <c r="A18">
        <v>10</v>
      </c>
      <c r="B18" s="72">
        <v>119.17401078369704</v>
      </c>
      <c r="C18" s="72">
        <v>1.444581945779345</v>
      </c>
      <c r="D18" s="72">
        <v>0.5270588235294118</v>
      </c>
      <c r="E18" s="72">
        <v>0.523149491624365</v>
      </c>
      <c r="M18" s="75">
        <v>37014</v>
      </c>
      <c r="N18" s="73">
        <v>0.2628398836715035</v>
      </c>
      <c r="O18" s="73">
        <v>0.5895861956060462</v>
      </c>
      <c r="P18" s="73"/>
      <c r="V18" s="73">
        <v>0.2628398836715035</v>
      </c>
      <c r="W18" s="73">
        <v>0.5895861956060462</v>
      </c>
    </row>
    <row r="19" spans="13:23" ht="12.75">
      <c r="M19" s="75">
        <v>37014</v>
      </c>
      <c r="N19" s="73">
        <v>0.35354309715938054</v>
      </c>
      <c r="O19" s="73">
        <v>0.503071083324116</v>
      </c>
      <c r="P19" s="73"/>
      <c r="V19" s="73">
        <v>0.35354309715938054</v>
      </c>
      <c r="W19" s="73">
        <v>0.503071083324116</v>
      </c>
    </row>
    <row r="20" spans="13:23" ht="12.75">
      <c r="M20" s="75">
        <v>37014</v>
      </c>
      <c r="N20" s="73">
        <v>0.4832695161855115</v>
      </c>
      <c r="O20" s="73">
        <v>0.6940216212794957</v>
      </c>
      <c r="P20" s="73"/>
      <c r="V20" s="73">
        <v>0.4832695161855115</v>
      </c>
      <c r="W20" s="73">
        <v>0.6940216212794957</v>
      </c>
    </row>
    <row r="21" spans="2:23" ht="12.75">
      <c r="B21" s="69">
        <v>37014</v>
      </c>
      <c r="M21" s="75">
        <v>37014</v>
      </c>
      <c r="N21" s="73">
        <v>1.228335919266792</v>
      </c>
      <c r="O21" s="73">
        <v>0.53</v>
      </c>
      <c r="V21" s="73">
        <v>1.228335919266792</v>
      </c>
      <c r="W21" s="73">
        <v>0.53</v>
      </c>
    </row>
    <row r="22" spans="13:23" ht="12.75">
      <c r="M22" s="75">
        <v>37014</v>
      </c>
      <c r="N22" s="73">
        <v>1.4620320002948104</v>
      </c>
      <c r="O22" s="73">
        <v>0.70752997713719</v>
      </c>
      <c r="V22" s="73">
        <v>1.4620320002948104</v>
      </c>
      <c r="W22" s="73">
        <v>0.70752997713719</v>
      </c>
    </row>
    <row r="23" spans="1:23" ht="12.75">
      <c r="A23">
        <v>1</v>
      </c>
      <c r="B23" s="71">
        <v>0</v>
      </c>
      <c r="C23" s="71">
        <v>0</v>
      </c>
      <c r="D23" s="71">
        <v>1</v>
      </c>
      <c r="E23" s="71">
        <v>1</v>
      </c>
      <c r="M23" s="75">
        <v>37014</v>
      </c>
      <c r="N23" s="73">
        <v>1.5929597145276764</v>
      </c>
      <c r="O23" s="73">
        <v>0.5883019209160608</v>
      </c>
      <c r="V23" s="73">
        <v>1.5929597145276764</v>
      </c>
      <c r="W23" s="73">
        <v>0.5883019209160608</v>
      </c>
    </row>
    <row r="24" spans="1:23" ht="12.75">
      <c r="A24">
        <v>2</v>
      </c>
      <c r="B24" s="71">
        <v>0</v>
      </c>
      <c r="C24" s="71">
        <v>0</v>
      </c>
      <c r="D24" s="71"/>
      <c r="E24" s="71"/>
      <c r="M24" s="75">
        <v>37014</v>
      </c>
      <c r="N24" s="73">
        <v>1.257512695658633</v>
      </c>
      <c r="O24" s="73">
        <v>0.7991580391038766</v>
      </c>
      <c r="V24" s="73">
        <v>1.257512695658633</v>
      </c>
      <c r="W24" s="73">
        <v>0.7991580391038766</v>
      </c>
    </row>
    <row r="25" spans="1:16" ht="12.75">
      <c r="A25">
        <v>3</v>
      </c>
      <c r="B25" s="73">
        <v>16.621051896948686</v>
      </c>
      <c r="C25" s="73">
        <v>0.27912640118298004</v>
      </c>
      <c r="D25" s="73">
        <v>0.6836935166994107</v>
      </c>
      <c r="E25" s="73">
        <v>0.7224880663377354</v>
      </c>
      <c r="M25" s="45" t="s">
        <v>99</v>
      </c>
      <c r="N25" s="45">
        <v>0.09331036254063678</v>
      </c>
      <c r="O25" s="45">
        <v>0.48723733381149875</v>
      </c>
      <c r="P25" s="72"/>
    </row>
    <row r="26" spans="1:16" ht="12.75">
      <c r="A26">
        <v>4</v>
      </c>
      <c r="B26" s="73">
        <v>23.70428558496561</v>
      </c>
      <c r="C26" s="73">
        <v>0.2628398836715035</v>
      </c>
      <c r="D26" s="73">
        <v>0.6483300589390963</v>
      </c>
      <c r="E26" s="73">
        <v>0.5895861956060462</v>
      </c>
      <c r="M26" s="45" t="s">
        <v>99</v>
      </c>
      <c r="N26" s="45">
        <v>0.1686029684141709</v>
      </c>
      <c r="O26" s="45">
        <v>0.6229331111707308</v>
      </c>
      <c r="P26" s="72"/>
    </row>
    <row r="27" spans="1:16" ht="12.75">
      <c r="A27">
        <v>5</v>
      </c>
      <c r="B27" s="73">
        <v>29.466839111111245</v>
      </c>
      <c r="C27" s="73">
        <v>0.35354309715938054</v>
      </c>
      <c r="D27" s="73">
        <v>0.5579567779960709</v>
      </c>
      <c r="E27" s="73">
        <v>0.503071083324116</v>
      </c>
      <c r="M27" s="45" t="s">
        <v>99</v>
      </c>
      <c r="N27" s="45">
        <v>0.339612252286819</v>
      </c>
      <c r="O27" s="45">
        <v>0.41453624586549054</v>
      </c>
      <c r="P27" s="72"/>
    </row>
    <row r="28" spans="1:16" ht="12.75">
      <c r="A28">
        <v>6</v>
      </c>
      <c r="B28" s="73">
        <v>41.962439503496064</v>
      </c>
      <c r="C28" s="73">
        <v>0.4832695161855115</v>
      </c>
      <c r="D28" s="73">
        <v>0.6640471512770139</v>
      </c>
      <c r="E28" s="73">
        <v>0.6940216212794957</v>
      </c>
      <c r="M28" s="45" t="s">
        <v>99</v>
      </c>
      <c r="N28" s="45">
        <v>0.5489016695553152</v>
      </c>
      <c r="O28" s="45">
        <v>0.31520724650495635</v>
      </c>
      <c r="P28" s="72"/>
    </row>
    <row r="29" spans="1:16" ht="12.75">
      <c r="A29">
        <v>7</v>
      </c>
      <c r="B29" s="73">
        <v>46.160977191775146</v>
      </c>
      <c r="C29" s="73">
        <v>1.228335919266792</v>
      </c>
      <c r="D29" s="73">
        <v>0.4675834970530452</v>
      </c>
      <c r="E29" s="73">
        <v>0.5322765200995639</v>
      </c>
      <c r="M29" s="45" t="s">
        <v>99</v>
      </c>
      <c r="N29" s="45">
        <v>0.9727648610946114</v>
      </c>
      <c r="O29" s="45">
        <v>0.28322740112994343</v>
      </c>
      <c r="P29" s="72"/>
    </row>
    <row r="30" spans="1:15" ht="12.75">
      <c r="A30">
        <v>8</v>
      </c>
      <c r="B30" s="73">
        <v>68.11988492743275</v>
      </c>
      <c r="C30" s="73">
        <v>1.4620320002948104</v>
      </c>
      <c r="D30" s="73">
        <v>0.7033398821218074</v>
      </c>
      <c r="E30" s="73">
        <v>0.70752997713719</v>
      </c>
      <c r="M30" s="45" t="s">
        <v>99</v>
      </c>
      <c r="N30" s="45">
        <v>1.7424215990657184</v>
      </c>
      <c r="O30" s="45">
        <v>0.19126909874379194</v>
      </c>
    </row>
    <row r="31" spans="1:15" ht="12.75">
      <c r="A31">
        <v>9</v>
      </c>
      <c r="B31" s="73">
        <v>91.94911511886664</v>
      </c>
      <c r="C31" s="73">
        <v>1.5929597145276764</v>
      </c>
      <c r="D31" s="73">
        <v>0.4833005893909627</v>
      </c>
      <c r="E31" s="73">
        <v>0.5883019209160608</v>
      </c>
      <c r="M31" s="45" t="s">
        <v>99</v>
      </c>
      <c r="N31" s="45">
        <v>1.3064830891761958</v>
      </c>
      <c r="O31" s="45">
        <v>0.12310545255025485</v>
      </c>
    </row>
    <row r="32" spans="1:15" ht="12.75">
      <c r="A32">
        <v>10</v>
      </c>
      <c r="B32" s="73">
        <v>103.78166853462268</v>
      </c>
      <c r="C32" s="73">
        <v>1.257512695658633</v>
      </c>
      <c r="D32" s="73">
        <v>0.8487229862475443</v>
      </c>
      <c r="E32" s="73">
        <v>0.7991580391038766</v>
      </c>
      <c r="M32" s="45" t="s">
        <v>99</v>
      </c>
      <c r="N32" s="45">
        <v>2.4818075392302696</v>
      </c>
      <c r="O32" s="45">
        <v>0.1531847943942574</v>
      </c>
    </row>
    <row r="34" ht="12.75">
      <c r="B34" s="69">
        <v>37239</v>
      </c>
    </row>
    <row r="36" spans="1:5" ht="12.75">
      <c r="A36">
        <v>1</v>
      </c>
      <c r="B36" s="70">
        <v>0</v>
      </c>
      <c r="C36" s="70">
        <v>0</v>
      </c>
      <c r="D36" s="70">
        <v>1</v>
      </c>
      <c r="E36" s="70">
        <v>1</v>
      </c>
    </row>
    <row r="37" spans="1:5" ht="12.75">
      <c r="A37">
        <v>2</v>
      </c>
      <c r="B37" s="70">
        <v>0</v>
      </c>
      <c r="C37" s="70">
        <v>0</v>
      </c>
      <c r="D37" s="70"/>
      <c r="E37" s="70"/>
    </row>
    <row r="38" spans="1:5" ht="12.75">
      <c r="A38">
        <v>3</v>
      </c>
      <c r="B38" s="45">
        <v>1.9921615207167929</v>
      </c>
      <c r="C38" s="45">
        <v>0.09331036254063678</v>
      </c>
      <c r="D38" s="45">
        <v>0.8348214285714286</v>
      </c>
      <c r="E38" s="45">
        <v>0.48723733381149875</v>
      </c>
    </row>
    <row r="39" spans="1:5" ht="12.75">
      <c r="A39">
        <v>4</v>
      </c>
      <c r="B39" s="45">
        <v>3.8787525853904516</v>
      </c>
      <c r="C39" s="45">
        <v>0.1686029684141709</v>
      </c>
      <c r="D39" s="45">
        <v>0.7857142857142856</v>
      </c>
      <c r="E39" s="45">
        <v>0.6229331111707308</v>
      </c>
    </row>
    <row r="40" spans="1:5" ht="12.75">
      <c r="A40">
        <v>5</v>
      </c>
      <c r="B40" s="45">
        <v>7.93545051436778</v>
      </c>
      <c r="C40" s="45">
        <v>0.339612252286819</v>
      </c>
      <c r="D40" s="45">
        <v>0.5625</v>
      </c>
      <c r="E40" s="45">
        <v>0.41453624586549054</v>
      </c>
    </row>
    <row r="41" spans="1:5" ht="12.75">
      <c r="A41">
        <v>6</v>
      </c>
      <c r="B41" s="45">
        <v>12.061104044863157</v>
      </c>
      <c r="C41" s="45">
        <v>0.5489016695553152</v>
      </c>
      <c r="D41" s="45">
        <v>0.5714285714285713</v>
      </c>
      <c r="E41" s="45">
        <v>0.31520724650495635</v>
      </c>
    </row>
    <row r="42" spans="1:5" ht="12.75">
      <c r="A42">
        <v>7</v>
      </c>
      <c r="B42" s="45">
        <v>15.741680511014746</v>
      </c>
      <c r="C42" s="45">
        <v>0.9727648610946114</v>
      </c>
      <c r="D42" s="45">
        <v>0.46875</v>
      </c>
      <c r="E42" s="45">
        <v>0.28322740112994343</v>
      </c>
    </row>
    <row r="43" spans="1:5" ht="12.75">
      <c r="A43">
        <v>8</v>
      </c>
      <c r="B43" s="45">
        <v>19.85821594544162</v>
      </c>
      <c r="C43" s="45">
        <v>1.7424215990657184</v>
      </c>
      <c r="D43" s="45">
        <v>0.2915178571428571</v>
      </c>
      <c r="E43" s="45">
        <v>0.19126909874379194</v>
      </c>
    </row>
    <row r="44" spans="1:5" ht="12.75">
      <c r="A44">
        <v>9</v>
      </c>
      <c r="B44" s="45">
        <v>23.30029721130143</v>
      </c>
      <c r="C44" s="45">
        <v>1.3064830891761958</v>
      </c>
      <c r="D44" s="45">
        <v>0.23526785714285708</v>
      </c>
      <c r="E44" s="45">
        <v>0.12310545255025485</v>
      </c>
    </row>
    <row r="45" spans="1:5" ht="12.75">
      <c r="A45">
        <v>10</v>
      </c>
      <c r="B45" s="45">
        <v>30.059085922079134</v>
      </c>
      <c r="C45" s="45">
        <v>2.4818075392302696</v>
      </c>
      <c r="D45" s="45">
        <v>0.23526785714285708</v>
      </c>
      <c r="E45" s="45">
        <v>0.1531847943942574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2001-07-09T21:31:02Z</cp:lastPrinted>
  <dcterms:created xsi:type="dcterms:W3CDTF">2000-10-11T19:44:58Z</dcterms:created>
  <dcterms:modified xsi:type="dcterms:W3CDTF">2001-07-09T21:32:45Z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