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210" windowHeight="5070" tabRatio="727" firstSheet="3" activeTab="6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  <sheet name="Summary (3 exp)" sheetId="7" r:id="rId7"/>
  </sheets>
  <definedNames/>
  <calcPr fullCalcOnLoad="1"/>
</workbook>
</file>

<file path=xl/comments7.xml><?xml version="1.0" encoding="utf-8"?>
<comments xmlns="http://schemas.openxmlformats.org/spreadsheetml/2006/main">
  <authors>
    <author>Roger W. Howell</author>
  </authors>
  <commentList>
    <comment ref="B9" authorId="0">
      <text>
        <r>
          <rPr>
            <b/>
            <sz val="8"/>
            <rFont val="Tahoma"/>
            <family val="0"/>
          </rPr>
          <t>Roger W. Howell: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<sst xmlns="http://schemas.openxmlformats.org/spreadsheetml/2006/main" count="174" uniqueCount="101">
  <si>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</si>
  <si>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</si>
  <si>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</si>
  <si>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</si>
  <si>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</si>
  <si>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</si>
  <si>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</si>
  <si>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</si>
  <si>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</si>
  <si>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</si>
  <si>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</si>
  <si>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</si>
  <si>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</si>
  <si>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</si>
  <si>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</si>
  <si>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</si>
  <si>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</si>
  <si>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</si>
  <si>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</si>
  <si>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</si>
  <si>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</si>
  <si>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</si>
  <si>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</si>
  <si>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</si>
  <si>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</si>
  <si>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</si>
  <si>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</si>
  <si>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</si>
  <si>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</si>
  <si>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</si>
  <si>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</si>
  <si>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</si>
  <si>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</si>
  <si>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</si>
  <si>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</si>
  <si>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</si>
  <si>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</si>
  <si>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</si>
  <si>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</si>
  <si>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</si>
  <si>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</si>
  <si>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</si>
  <si>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</si>
  <si>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</si>
  <si>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</si>
  <si>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</si>
  <si>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</si>
  <si>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</si>
  <si>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</si>
  <si>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</si>
  <si>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</si>
  <si>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</si>
  <si>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</si>
  <si>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</si>
  <si>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</si>
  <si>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</si>
  <si>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</si>
  <si>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</si>
  <si>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</si>
  <si>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</si>
  <si>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</si>
  <si>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</si>
  <si>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</si>
  <si>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</si>
  <si>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</si>
  <si>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</si>
  <si>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</si>
  <si>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</si>
  <si>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</si>
  <si>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</si>
  <si>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</si>
  <si>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</si>
  <si>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</si>
  <si>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</si>
  <si>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</si>
  <si>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</si>
  <si>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</si>
  <si>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</si>
  <si>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</si>
  <si>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</si>
  <si>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</si>
  <si>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</si>
  <si>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</si>
  <si>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</si>
  <si>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</si>
  <si>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</si>
  <si>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</si>
  <si>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</si>
  <si>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</si>
  <si>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</si>
  <si>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M. Lenarczyk</t>
  </si>
  <si>
    <t>V79</t>
  </si>
  <si>
    <t>None</t>
  </si>
  <si>
    <t>H-3</t>
  </si>
  <si>
    <t>H-3 thymidine</t>
  </si>
  <si>
    <t>NEN/3106-421</t>
  </si>
  <si>
    <t>EcoLume</t>
  </si>
  <si>
    <t>Beckman LS5000TD</t>
  </si>
  <si>
    <t>EXP: 5/21/2001</t>
  </si>
  <si>
    <t>Exp.#</t>
  </si>
  <si>
    <t>Dec., 14, 2001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</si>
</sst>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m/dd/yy"/>
    <numFmt numFmtId="179" formatCode="0_);[Red]\(0\)"/>
    <numFmt numFmtId="180" formatCode="0.E+00"/>
  </numFmts>
  <fonts count="29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5"/>
      <name val="Arial"/>
      <family val="2"/>
    </font>
    <font>
      <sz val="10"/>
      <color indexed="14"/>
      <name val="Arial"/>
      <family val="2"/>
    </font>
    <font>
      <sz val="10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 quotePrefix="1">
      <alignment horizontal="left"/>
      <protection locked="0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15" fontId="0" fillId="0" borderId="3" xfId="0" applyNumberFormat="1" applyBorder="1" applyAlignment="1" applyProtection="1">
      <alignment horizontal="left"/>
      <protection locked="0"/>
    </xf>
    <xf numFmtId="17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2" fontId="25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171" fontId="25" fillId="0" borderId="0" xfId="0" applyNumberFormat="1" applyFont="1" applyAlignment="1">
      <alignment/>
    </xf>
    <xf numFmtId="15" fontId="24" fillId="0" borderId="0" xfId="0" applyNumberFormat="1" applyFont="1" applyAlignment="1">
      <alignment/>
    </xf>
    <xf numFmtId="15" fontId="2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9786741"/>
        <c:axId val="43862942"/>
      </c:scatterChart>
      <c:valAx>
        <c:axId val="1978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62942"/>
        <c:crossesAt val="0.001"/>
        <c:crossBetween val="midCat"/>
        <c:dispUnits/>
      </c:valAx>
      <c:valAx>
        <c:axId val="438629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867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9222159"/>
        <c:axId val="63237384"/>
      </c:scatterChart>
      <c:valAx>
        <c:axId val="5922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37384"/>
        <c:crosses val="autoZero"/>
        <c:crossBetween val="midCat"/>
        <c:dispUnits/>
      </c:valAx>
      <c:valAx>
        <c:axId val="63237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221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0.2438599383944379</c:v>
                </c:pt>
                <c:pt idx="3">
                  <c:v>0.6663344312719615</c:v>
                </c:pt>
                <c:pt idx="4">
                  <c:v>0.4629998366933652</c:v>
                </c:pt>
                <c:pt idx="5">
                  <c:v>0.4044803912420381</c:v>
                </c:pt>
                <c:pt idx="6">
                  <c:v>0.9105162932060604</c:v>
                </c:pt>
                <c:pt idx="7">
                  <c:v>0.9118961587909353</c:v>
                </c:pt>
                <c:pt idx="8">
                  <c:v>1.3131335833204731</c:v>
                </c:pt>
                <c:pt idx="9">
                  <c:v>1.444581945779345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1.035294117647059</c:v>
                </c:pt>
                <c:pt idx="3">
                  <c:v>0.931764705882353</c:v>
                </c:pt>
                <c:pt idx="4">
                  <c:v>0.8094117647058825</c:v>
                </c:pt>
                <c:pt idx="5">
                  <c:v>1.0070588235294118</c:v>
                </c:pt>
                <c:pt idx="6">
                  <c:v>0.5317647058823529</c:v>
                </c:pt>
                <c:pt idx="7">
                  <c:v>0.7435294117647058</c:v>
                </c:pt>
                <c:pt idx="8">
                  <c:v>0.5741176470588235</c:v>
                </c:pt>
                <c:pt idx="9">
                  <c:v>0.5270588235294118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0.2438599383944379</c:v>
                </c:pt>
                <c:pt idx="3">
                  <c:v>0.6663344312719615</c:v>
                </c:pt>
                <c:pt idx="4">
                  <c:v>0.4629998366933652</c:v>
                </c:pt>
                <c:pt idx="5">
                  <c:v>0.4044803912420381</c:v>
                </c:pt>
                <c:pt idx="6">
                  <c:v>0.9105162932060604</c:v>
                </c:pt>
                <c:pt idx="7">
                  <c:v>0.9118961587909353</c:v>
                </c:pt>
                <c:pt idx="8">
                  <c:v>1.3131335833204731</c:v>
                </c:pt>
                <c:pt idx="9">
                  <c:v>1.444581945779345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0.9755182372079606</c:v>
                </c:pt>
                <c:pt idx="3">
                  <c:v>0.8443451339345807</c:v>
                </c:pt>
                <c:pt idx="4">
                  <c:v>0.702532916548262</c:v>
                </c:pt>
                <c:pt idx="5">
                  <c:v>0.960621837172584</c:v>
                </c:pt>
                <c:pt idx="6">
                  <c:v>0.533166039009</c:v>
                </c:pt>
                <c:pt idx="7">
                  <c:v>0.722962753351491</c:v>
                </c:pt>
                <c:pt idx="8">
                  <c:v>0.5991598356117577</c:v>
                </c:pt>
                <c:pt idx="9">
                  <c:v>0.523149491624365</c:v>
                </c:pt>
              </c:numCache>
            </c:numRef>
          </c:yVal>
          <c:smooth val="0"/>
        </c:ser>
        <c:axId val="32265545"/>
        <c:axId val="21954450"/>
      </c:scatterChart>
      <c:valAx>
        <c:axId val="32265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54450"/>
        <c:crossesAt val="0.001"/>
        <c:crossBetween val="midCat"/>
        <c:dispUnits/>
      </c:valAx>
      <c:valAx>
        <c:axId val="2195445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655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1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19.36017249189259</c:v>
                </c:pt>
                <c:pt idx="3">
                  <c:v>28.160535920080676</c:v>
                </c:pt>
                <c:pt idx="4">
                  <c:v>36.54875640497429</c:v>
                </c:pt>
                <c:pt idx="5">
                  <c:v>47.62987213761765</c:v>
                </c:pt>
                <c:pt idx="6">
                  <c:v>61.53670373459113</c:v>
                </c:pt>
                <c:pt idx="7">
                  <c:v>82.3986612667455</c:v>
                </c:pt>
                <c:pt idx="8">
                  <c:v>101.55561251481448</c:v>
                </c:pt>
                <c:pt idx="9">
                  <c:v>119.17401078369704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0.2438599383944379</c:v>
                </c:pt>
                <c:pt idx="3">
                  <c:v>0.6663344312719615</c:v>
                </c:pt>
                <c:pt idx="4">
                  <c:v>0.4629998366933652</c:v>
                </c:pt>
                <c:pt idx="5">
                  <c:v>0.4044803912420381</c:v>
                </c:pt>
                <c:pt idx="6">
                  <c:v>0.9105162932060604</c:v>
                </c:pt>
                <c:pt idx="7">
                  <c:v>0.9118961587909353</c:v>
                </c:pt>
                <c:pt idx="8">
                  <c:v>1.3131335833204731</c:v>
                </c:pt>
                <c:pt idx="9">
                  <c:v>1.444581945779345</c:v>
                </c:pt>
              </c:numCache>
            </c:numRef>
          </c:yVal>
          <c:smooth val="0"/>
        </c:ser>
        <c:axId val="63372323"/>
        <c:axId val="33479996"/>
      </c:scatterChart>
      <c:valAx>
        <c:axId val="6337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3479996"/>
        <c:crosses val="autoZero"/>
        <c:crossBetween val="midCat"/>
        <c:dispUnits/>
      </c:valAx>
      <c:valAx>
        <c:axId val="3347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3723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09875"/>
          <c:w val="0.840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v>21-May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exp"/>
            <c:forward val="1"/>
            <c:intercept val="1"/>
            <c:dispEq val="0"/>
            <c:dispRSqr val="0"/>
          </c:trendline>
          <c:xVal>
            <c:numRef>
              <c:f>'Summary (3 exp)'!$C$9:$C$18</c:f>
              <c:numCache/>
            </c:numRef>
          </c:xVal>
          <c:yVal>
            <c:numRef>
              <c:f>'Summary (3 exp)'!$E$9:$E$18</c:f>
              <c:numCache/>
            </c:numRef>
          </c:yVal>
          <c:smooth val="0"/>
        </c:ser>
        <c:ser>
          <c:idx val="1"/>
          <c:order val="1"/>
          <c:tx>
            <c:v>3-May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exp"/>
            <c:forward val="1"/>
            <c:intercept val="1"/>
            <c:dispEq val="0"/>
            <c:dispRSqr val="0"/>
          </c:trendline>
          <c:xVal>
            <c:numRef>
              <c:f>'Summary (3 exp)'!$C$23:$C$32</c:f>
              <c:numCache/>
            </c:numRef>
          </c:xVal>
          <c:yVal>
            <c:numRef>
              <c:f>'Summary (3 exp)'!$E$23:$E$32</c:f>
              <c:numCache/>
            </c:numRef>
          </c:yVal>
          <c:smooth val="0"/>
        </c:ser>
        <c:ser>
          <c:idx val="2"/>
          <c:order val="2"/>
          <c:tx>
            <c:v>14-Dec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exp"/>
            <c:intercept val="1"/>
            <c:dispEq val="0"/>
            <c:dispRSqr val="0"/>
          </c:trendline>
          <c:xVal>
            <c:numRef>
              <c:f>'Summary (3 exp)'!$C$36:$C$45</c:f>
              <c:numCache/>
            </c:numRef>
          </c:xVal>
          <c:yVal>
            <c:numRef>
              <c:f>'Summary (3 exp)'!$E$36:$E$45</c:f>
              <c:numCache/>
            </c:numRef>
          </c:yVal>
          <c:smooth val="0"/>
        </c:ser>
        <c:axId val="32884509"/>
        <c:axId val="27525126"/>
      </c:scatterChart>
      <c:valAx>
        <c:axId val="3288450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7525126"/>
        <c:crossesAt val="0.001"/>
        <c:crossBetween val="midCat"/>
        <c:dispUnits/>
        <c:majorUnit val="0.5"/>
      </c:valAx>
      <c:valAx>
        <c:axId val="27525126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8845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5"/>
          <c:y val="0.13275"/>
          <c:w val="0.40075"/>
          <c:h val="0.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0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985"/>
          <c:w val="0.84075"/>
          <c:h val="0.83425"/>
        </c:manualLayout>
      </c:layout>
      <c:scatterChart>
        <c:scatterStyle val="lineMarker"/>
        <c:varyColors val="0"/>
        <c:ser>
          <c:idx val="0"/>
          <c:order val="0"/>
          <c:tx>
            <c:v>All 100%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intercept val="1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'Summary (3 exp)'!$N$7:$N$32</c:f>
              <c:numCache/>
            </c:numRef>
          </c:xVal>
          <c:yVal>
            <c:numRef>
              <c:f>'Summary (3 exp)'!$O$7:$O$32</c:f>
              <c:numCache/>
            </c:numRef>
          </c:yVal>
          <c:smooth val="0"/>
        </c:ser>
        <c:axId val="46399543"/>
        <c:axId val="14942704"/>
      </c:scatterChart>
      <c:valAx>
        <c:axId val="4639954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42704"/>
        <c:crossesAt val="0.001"/>
        <c:crossBetween val="midCat"/>
        <c:dispUnits/>
        <c:majorUnit val="0.5"/>
      </c:valAx>
      <c:valAx>
        <c:axId val="14942704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995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8"/>
          <c:y val="0.14275"/>
          <c:w val="0.39925"/>
          <c:h val="0.0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11</xdr:col>
      <xdr:colOff>581025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819400" y="971550"/>
        <a:ext cx="2724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2</xdr:row>
      <xdr:rowOff>152400</xdr:rowOff>
    </xdr:from>
    <xdr:to>
      <xdr:col>20</xdr:col>
      <xdr:colOff>304800</xdr:colOff>
      <xdr:row>20</xdr:row>
      <xdr:rowOff>57150</xdr:rowOff>
    </xdr:to>
    <xdr:graphicFrame>
      <xdr:nvGraphicFramePr>
        <xdr:cNvPr id="2" name="Chart 5"/>
        <xdr:cNvGraphicFramePr/>
      </xdr:nvGraphicFramePr>
      <xdr:xfrm>
        <a:off x="8058150" y="476250"/>
        <a:ext cx="27336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D26" sqref="D2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37014</v>
      </c>
    </row>
    <row r="2" ht="12.75">
      <c r="B2" s="63"/>
    </row>
    <row r="3" spans="1:2" ht="12.75">
      <c r="A3" s="24" t="s">
        <v>15</v>
      </c>
      <c r="B3" s="67">
        <v>37032</v>
      </c>
    </row>
    <row r="4" spans="1:3" ht="12.75">
      <c r="A4" s="24" t="s">
        <v>16</v>
      </c>
      <c r="B4" s="50" t="s">
        <v>90</v>
      </c>
      <c r="C4" s="20"/>
    </row>
    <row r="5" spans="1:2" ht="12.75">
      <c r="A5" s="24" t="s">
        <v>17</v>
      </c>
      <c r="B5" s="50" t="s">
        <v>91</v>
      </c>
    </row>
    <row r="6" spans="1:2" ht="12.75">
      <c r="A6" s="24" t="s">
        <v>81</v>
      </c>
      <c r="B6" s="50" t="s">
        <v>92</v>
      </c>
    </row>
    <row r="7" spans="1:2" ht="12.75">
      <c r="A7" s="24" t="s">
        <v>21</v>
      </c>
      <c r="B7" s="50" t="s">
        <v>93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94</v>
      </c>
    </row>
    <row r="11" spans="1:2" ht="12.75">
      <c r="A11" s="24" t="s">
        <v>19</v>
      </c>
      <c r="B11" s="50" t="s">
        <v>95</v>
      </c>
    </row>
    <row r="12" spans="1:4" ht="12.75">
      <c r="A12" s="24" t="s">
        <v>27</v>
      </c>
      <c r="B12" s="52">
        <v>36997.5</v>
      </c>
      <c r="C12" s="20" t="s">
        <v>25</v>
      </c>
      <c r="D12" s="58">
        <v>37</v>
      </c>
    </row>
    <row r="13" spans="1:4" ht="12.75">
      <c r="A13" s="24" t="s">
        <v>28</v>
      </c>
      <c r="B13" s="54">
        <v>37032.84375</v>
      </c>
      <c r="C13" s="20" t="s">
        <v>89</v>
      </c>
      <c r="D13" s="59">
        <v>35</v>
      </c>
    </row>
    <row r="14" spans="1:4" ht="12.75">
      <c r="A14" s="24" t="s">
        <v>83</v>
      </c>
      <c r="B14" s="51">
        <v>1</v>
      </c>
      <c r="C14" s="20" t="s">
        <v>26</v>
      </c>
      <c r="D14" s="47">
        <f>$D$12*EXP(-0.693*$D$13/($B$8))</f>
        <v>36.80112633332478</v>
      </c>
    </row>
    <row r="15" ht="12.75">
      <c r="B15" s="63"/>
    </row>
    <row r="16" spans="1:2" ht="12.75">
      <c r="A16" s="24" t="s">
        <v>35</v>
      </c>
      <c r="B16" s="49" t="s">
        <v>96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>
        <v>7</v>
      </c>
    </row>
    <row r="19" spans="1:2" ht="12.75">
      <c r="A19" s="24" t="s">
        <v>36</v>
      </c>
      <c r="B19" s="50" t="s">
        <v>97</v>
      </c>
    </row>
    <row r="20" spans="1:2" ht="12.75">
      <c r="A20" s="24" t="s">
        <v>37</v>
      </c>
      <c r="B20" s="51">
        <v>0.65</v>
      </c>
    </row>
    <row r="21" ht="12.75">
      <c r="B21" s="63"/>
    </row>
    <row r="22" spans="1:2" ht="12.75">
      <c r="A22" s="24" t="s">
        <v>23</v>
      </c>
      <c r="B22" s="53">
        <v>37032.833333333336</v>
      </c>
    </row>
    <row r="23" spans="1:4" ht="12.75">
      <c r="A23" s="24" t="s">
        <v>24</v>
      </c>
      <c r="B23" s="54">
        <v>37033.458333333336</v>
      </c>
      <c r="C23" s="20" t="s">
        <v>29</v>
      </c>
      <c r="D23" s="27">
        <v>15</v>
      </c>
    </row>
    <row r="24" spans="1:4" ht="12.75">
      <c r="A24" s="24" t="s">
        <v>69</v>
      </c>
      <c r="B24" s="54">
        <v>37035.614583333336</v>
      </c>
      <c r="C24" s="20" t="s">
        <v>30</v>
      </c>
      <c r="D24" s="27">
        <v>67</v>
      </c>
    </row>
    <row r="25" spans="1:4" ht="12.75">
      <c r="A25" s="24" t="s">
        <v>70</v>
      </c>
      <c r="B25" s="54">
        <v>37036.708333333336</v>
      </c>
      <c r="C25" s="20" t="s">
        <v>71</v>
      </c>
      <c r="D25" s="27">
        <v>80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3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2">
        <f>AVERAGE(D32:F32)</f>
        <v>14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5">
        <v>14</v>
      </c>
      <c r="E32" s="56">
        <v>14</v>
      </c>
      <c r="F32" s="57">
        <v>14</v>
      </c>
    </row>
    <row r="33" spans="1:2" ht="12.75">
      <c r="A33" s="24" t="s">
        <v>84</v>
      </c>
      <c r="B33" s="66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2">
      <pane xSplit="11610" topLeftCell="U1" activePane="topLeft" state="split"/>
      <selection pane="topLeft" activeCell="D23" sqref="D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>
        <f>Parameters!$B$3</f>
        <v>37032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37014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14</v>
      </c>
      <c r="C13" s="28">
        <v>5</v>
      </c>
      <c r="D13" s="28">
        <v>11</v>
      </c>
      <c r="E13" s="34">
        <f>AVERAGE(B13:D13,B14:D14)</f>
        <v>10.333333333333334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10</v>
      </c>
      <c r="C14" s="28">
        <v>10</v>
      </c>
      <c r="D14" s="28">
        <v>12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22800</v>
      </c>
      <c r="C15" s="29">
        <v>22504</v>
      </c>
      <c r="D15" s="29"/>
      <c r="E15" s="35">
        <f>AVERAGE(B15:D15)</f>
        <v>22652</v>
      </c>
      <c r="F15" s="36">
        <f>(E15-E13)</f>
        <v>22641.666666666668</v>
      </c>
      <c r="G15" s="35">
        <f>F15/(Parameters!$B$9*Parameters!$B$20)</f>
        <v>34833.333333333336</v>
      </c>
      <c r="H15" s="37">
        <f>G15/(37000*60*Parameters!$B$26/1000)</f>
        <v>0.5230230230230231</v>
      </c>
      <c r="I15" s="37">
        <f>H15/EXP(-0.693*Parameters!$D$24/(Parameters!$B$8*24))</f>
        <v>0.5232479051862863</v>
      </c>
      <c r="J15" s="37">
        <f>I15*37</f>
        <v>19.36017249189259</v>
      </c>
      <c r="O15" s="2"/>
      <c r="P15" s="9"/>
      <c r="Q15" s="2"/>
      <c r="R15" s="1"/>
    </row>
    <row r="16" spans="1:18" ht="12.75">
      <c r="A16" s="20">
        <v>4</v>
      </c>
      <c r="B16" s="29">
        <v>32180</v>
      </c>
      <c r="C16" s="29">
        <v>33826</v>
      </c>
      <c r="D16" s="29">
        <v>32826</v>
      </c>
      <c r="E16" s="35">
        <f aca="true" t="shared" si="0" ref="E16:E22">AVERAGE(B16:D16)</f>
        <v>32944</v>
      </c>
      <c r="F16" s="36">
        <f>E16-E13</f>
        <v>32933.666666666664</v>
      </c>
      <c r="G16" s="35">
        <f>F16/(Parameters!$B$9*Parameters!$B$20)</f>
        <v>50667.179487179485</v>
      </c>
      <c r="H16" s="37">
        <f>G16/(37000*60*Parameters!$B$26/1000)</f>
        <v>0.7607684607684607</v>
      </c>
      <c r="I16" s="37">
        <f>H16/EXP(-0.693*Parameters!$D$24/(Parameters!$B$8*24))</f>
        <v>0.7610955654075858</v>
      </c>
      <c r="J16" s="37">
        <f aca="true" t="shared" si="1" ref="J16:J22">I16*37</f>
        <v>28.160535920080676</v>
      </c>
      <c r="O16" s="2"/>
      <c r="P16" s="9"/>
      <c r="Q16" s="2"/>
      <c r="R16" s="1"/>
    </row>
    <row r="17" spans="1:18" ht="12.75">
      <c r="A17" s="20">
        <v>5</v>
      </c>
      <c r="B17" s="29">
        <v>43968</v>
      </c>
      <c r="C17" s="29">
        <v>39446</v>
      </c>
      <c r="D17" s="29">
        <v>44848</v>
      </c>
      <c r="E17" s="35">
        <f t="shared" si="0"/>
        <v>42754</v>
      </c>
      <c r="F17" s="36">
        <f>E17-E13</f>
        <v>42743.666666666664</v>
      </c>
      <c r="G17" s="35">
        <f>F17/(Parameters!$B$9*Parameters!$B$20)</f>
        <v>65759.48717948717</v>
      </c>
      <c r="H17" s="37">
        <f>G17/(37000*60*Parameters!$B$26/1000)</f>
        <v>0.9873796873796873</v>
      </c>
      <c r="I17" s="37">
        <f>H17/EXP(-0.693*Parameters!$D$24/(Parameters!$B$8*24))</f>
        <v>0.9878042271614673</v>
      </c>
      <c r="J17" s="37">
        <f t="shared" si="1"/>
        <v>36.54875640497429</v>
      </c>
      <c r="O17" s="2"/>
      <c r="P17" s="9"/>
      <c r="Q17" s="2"/>
      <c r="R17" s="1"/>
    </row>
    <row r="18" spans="1:18" ht="12.75">
      <c r="A18" s="20">
        <v>6</v>
      </c>
      <c r="B18" s="29">
        <v>55820</v>
      </c>
      <c r="C18" s="29">
        <v>55850</v>
      </c>
      <c r="D18" s="29">
        <v>55470</v>
      </c>
      <c r="E18" s="35">
        <f t="shared" si="0"/>
        <v>55713.333333333336</v>
      </c>
      <c r="F18" s="36">
        <f>E18-E13</f>
        <v>55703</v>
      </c>
      <c r="G18" s="35">
        <f>F18/(Parameters!$B$9*Parameters!$B$20)</f>
        <v>85696.92307692308</v>
      </c>
      <c r="H18" s="37">
        <f>G18/(37000*60*Parameters!$B$26/1000)</f>
        <v>1.2867405867405868</v>
      </c>
      <c r="I18" s="37">
        <f>H18/EXP(-0.693*Parameters!$D$24/(Parameters!$B$8*24))</f>
        <v>1.287293841557234</v>
      </c>
      <c r="J18" s="37">
        <f t="shared" si="1"/>
        <v>47.62987213761765</v>
      </c>
      <c r="O18" s="2"/>
      <c r="P18" s="9"/>
      <c r="Q18" s="2"/>
      <c r="R18" s="1"/>
    </row>
    <row r="19" spans="1:18" ht="12.75">
      <c r="A19" s="20">
        <v>7</v>
      </c>
      <c r="B19" s="29">
        <v>70800</v>
      </c>
      <c r="C19" s="29">
        <v>72926</v>
      </c>
      <c r="D19" s="29">
        <v>72206</v>
      </c>
      <c r="E19" s="35">
        <f t="shared" si="0"/>
        <v>71977.33333333333</v>
      </c>
      <c r="F19" s="36">
        <f>E19-E13</f>
        <v>71967</v>
      </c>
      <c r="G19" s="35">
        <f>F19/(Parameters!$B$9*Parameters!$B$20)</f>
        <v>110718.46153846153</v>
      </c>
      <c r="H19" s="37">
        <f>G19/(37000*60*Parameters!$B$26/1000)</f>
        <v>1.6624393624393623</v>
      </c>
      <c r="I19" s="37">
        <f>H19/EXP(-0.693*Parameters!$D$24/(Parameters!$B$8*24))</f>
        <v>1.6631541549889495</v>
      </c>
      <c r="J19" s="37">
        <f t="shared" si="1"/>
        <v>61.53670373459113</v>
      </c>
      <c r="O19" s="2"/>
      <c r="P19" s="9"/>
      <c r="Q19" s="2"/>
      <c r="R19" s="1"/>
    </row>
    <row r="20" spans="1:18" ht="12.75">
      <c r="A20" s="20">
        <v>8</v>
      </c>
      <c r="B20" s="29">
        <v>96320</v>
      </c>
      <c r="C20" s="29">
        <v>95260</v>
      </c>
      <c r="D20" s="29">
        <v>97546</v>
      </c>
      <c r="E20" s="35">
        <f t="shared" si="0"/>
        <v>96375.33333333333</v>
      </c>
      <c r="F20" s="36">
        <f>E20-E13</f>
        <v>96365</v>
      </c>
      <c r="G20" s="35">
        <f>F20/(Parameters!$B$9*Parameters!$B$20)</f>
        <v>148253.84615384616</v>
      </c>
      <c r="H20" s="37">
        <f>G20/(37000*60*Parameters!$B$26/1000)</f>
        <v>2.226033726033726</v>
      </c>
      <c r="I20" s="37">
        <f>H20/EXP(-0.693*Parameters!$D$24/(Parameters!$B$8*24))</f>
        <v>2.226990845047176</v>
      </c>
      <c r="J20" s="37">
        <f t="shared" si="1"/>
        <v>82.3986612667455</v>
      </c>
      <c r="O20" s="2"/>
      <c r="P20" s="9"/>
      <c r="Q20" s="2"/>
      <c r="R20" s="1"/>
    </row>
    <row r="21" spans="1:18" ht="12.75">
      <c r="A21" s="20">
        <v>9</v>
      </c>
      <c r="B21" s="29">
        <v>124119</v>
      </c>
      <c r="C21" s="29">
        <v>118100</v>
      </c>
      <c r="D21" s="29">
        <v>114119</v>
      </c>
      <c r="E21" s="35">
        <f t="shared" si="0"/>
        <v>118779.33333333333</v>
      </c>
      <c r="F21" s="36">
        <f>E21-E13</f>
        <v>118769</v>
      </c>
      <c r="G21" s="35">
        <f>F21/(Parameters!$B$9*Parameters!$B$20)</f>
        <v>182721.53846153847</v>
      </c>
      <c r="H21" s="37">
        <f>G21/(37000*60*Parameters!$B$26/1000)</f>
        <v>2.7435666435666435</v>
      </c>
      <c r="I21" s="37">
        <f>H21/EXP(-0.693*Parameters!$D$24/(Parameters!$B$8*24))</f>
        <v>2.7447462841841754</v>
      </c>
      <c r="J21" s="37">
        <f t="shared" si="1"/>
        <v>101.55561251481448</v>
      </c>
      <c r="O21" s="2"/>
      <c r="P21" s="9"/>
      <c r="Q21" s="2"/>
      <c r="R21" s="1"/>
    </row>
    <row r="22" spans="1:18" ht="12.75">
      <c r="A22" s="20">
        <v>10</v>
      </c>
      <c r="B22" s="29">
        <v>146066</v>
      </c>
      <c r="C22" s="29">
        <v>135526</v>
      </c>
      <c r="D22" s="29">
        <v>136560</v>
      </c>
      <c r="E22" s="35">
        <f t="shared" si="0"/>
        <v>139384</v>
      </c>
      <c r="F22" s="36">
        <f>E22-E13</f>
        <v>139373.66666666666</v>
      </c>
      <c r="G22" s="35">
        <f>F22/(Parameters!$B$9*Parameters!$B$20)</f>
        <v>214421.02564102563</v>
      </c>
      <c r="H22" s="37">
        <f>G22/(37000*60*Parameters!$B$26/1000)</f>
        <v>3.219534919534919</v>
      </c>
      <c r="I22" s="37">
        <f>H22/EXP(-0.693*Parameters!$D$24/(Parameters!$B$8*24))</f>
        <v>3.2209192103701905</v>
      </c>
      <c r="J22" s="37">
        <f t="shared" si="1"/>
        <v>119.17401078369704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5">
      <selection activeCell="F25" sqref="F25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>
        <f>Parameters!$B$3</f>
        <v>37032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37014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11</v>
      </c>
      <c r="C13" s="28">
        <v>9</v>
      </c>
      <c r="D13" s="28">
        <v>13</v>
      </c>
      <c r="E13" s="34">
        <f>AVERAGE(B13:D14)</f>
        <v>11</v>
      </c>
      <c r="F13" s="34">
        <v>0</v>
      </c>
      <c r="G13" s="40">
        <v>0</v>
      </c>
      <c r="H13" s="41">
        <v>0</v>
      </c>
      <c r="I13" s="40">
        <v>0</v>
      </c>
      <c r="J13" s="60">
        <f>I13*37</f>
        <v>0</v>
      </c>
    </row>
    <row r="14" spans="1:10" ht="12.75">
      <c r="A14" s="33">
        <v>2</v>
      </c>
      <c r="B14" s="28">
        <v>11</v>
      </c>
      <c r="C14" s="28">
        <v>10</v>
      </c>
      <c r="D14" s="28">
        <v>12</v>
      </c>
      <c r="E14" s="34"/>
      <c r="F14" s="34">
        <v>0</v>
      </c>
      <c r="G14" s="40">
        <v>0</v>
      </c>
      <c r="H14" s="41">
        <v>0</v>
      </c>
      <c r="I14" s="40">
        <v>0</v>
      </c>
      <c r="J14" s="60">
        <f aca="true" t="shared" si="0" ref="J14:J22">I14*37</f>
        <v>0</v>
      </c>
    </row>
    <row r="15" spans="1:10" ht="12.75">
      <c r="A15" s="20">
        <v>3</v>
      </c>
      <c r="B15" s="29">
        <v>2450</v>
      </c>
      <c r="C15" s="29">
        <v>2448</v>
      </c>
      <c r="D15" s="29">
        <v>2965</v>
      </c>
      <c r="E15" s="35">
        <f aca="true" t="shared" si="1" ref="E15:E22">AVERAGE(B15:D15)</f>
        <v>2621</v>
      </c>
      <c r="F15" s="35">
        <f>E15-$E$13</f>
        <v>2610</v>
      </c>
      <c r="G15" s="35">
        <f>F15/(Parameters!$B$9*Parameters!$B$20)</f>
        <v>4015.3846153846152</v>
      </c>
      <c r="H15" s="42">
        <f>G15/(37000*60*Parameters!$B$27/1000)</f>
        <v>0.01808731808731809</v>
      </c>
      <c r="I15" s="42">
        <f>H15/EXP(-0.693*(Parameters!$D$25)/(Parameters!$B$8*24))</f>
        <v>0.018096604365249222</v>
      </c>
      <c r="J15" s="37">
        <f t="shared" si="0"/>
        <v>0.6695743615142212</v>
      </c>
    </row>
    <row r="16" spans="1:10" ht="12.75">
      <c r="A16" s="20">
        <v>4</v>
      </c>
      <c r="B16" s="29">
        <v>7151</v>
      </c>
      <c r="C16" s="29">
        <v>7461</v>
      </c>
      <c r="D16" s="29">
        <v>7668</v>
      </c>
      <c r="E16" s="35">
        <f t="shared" si="1"/>
        <v>7426.666666666667</v>
      </c>
      <c r="F16" s="35">
        <f aca="true" t="shared" si="2" ref="F16:F22">E16-$E$13</f>
        <v>7415.666666666667</v>
      </c>
      <c r="G16" s="35">
        <f>F16/(Parameters!$B$9*Parameters!$B$20)</f>
        <v>11408.71794871795</v>
      </c>
      <c r="H16" s="42">
        <f>G16/(37000*60*Parameters!$B$27/1000)</f>
        <v>0.051390621390621394</v>
      </c>
      <c r="I16" s="42">
        <f>H16/EXP(-0.693*(Parameters!$D$25)/(Parameters!$B$8*24))</f>
        <v>0.05141700604261806</v>
      </c>
      <c r="J16" s="37">
        <f t="shared" si="0"/>
        <v>1.9024292235768683</v>
      </c>
    </row>
    <row r="17" spans="1:10" ht="12.75">
      <c r="A17" s="20">
        <v>5</v>
      </c>
      <c r="B17" s="29">
        <v>6304</v>
      </c>
      <c r="C17" s="29">
        <v>4966</v>
      </c>
      <c r="D17" s="29">
        <v>4902</v>
      </c>
      <c r="E17" s="35">
        <f t="shared" si="1"/>
        <v>5390.666666666667</v>
      </c>
      <c r="F17" s="35">
        <f t="shared" si="2"/>
        <v>5379.666666666667</v>
      </c>
      <c r="G17" s="35">
        <f>F17/(Parameters!$B$9*Parameters!$B$20)</f>
        <v>8276.410256410256</v>
      </c>
      <c r="H17" s="42">
        <f>G17/(37000*60*Parameters!$B$27/1000)</f>
        <v>0.03728112728112728</v>
      </c>
      <c r="I17" s="42">
        <f>H17/EXP(-0.693*(Parameters!$D$25)/(Parameters!$B$8*24))</f>
        <v>0.03730026792474549</v>
      </c>
      <c r="J17" s="37">
        <f t="shared" si="0"/>
        <v>1.380109913215583</v>
      </c>
    </row>
    <row r="18" spans="1:10" ht="12.75">
      <c r="A18" s="20">
        <v>6</v>
      </c>
      <c r="B18" s="29">
        <v>4678</v>
      </c>
      <c r="C18" s="29">
        <v>3811</v>
      </c>
      <c r="D18" s="29">
        <v>4373</v>
      </c>
      <c r="E18" s="35">
        <f t="shared" si="1"/>
        <v>4287.333333333333</v>
      </c>
      <c r="F18" s="35">
        <f t="shared" si="2"/>
        <v>4276.333333333333</v>
      </c>
      <c r="G18" s="35">
        <f>F18/(Parameters!$B$9*Parameters!$B$20)</f>
        <v>6578.974358974358</v>
      </c>
      <c r="H18" s="42">
        <f>G18/(37000*60*Parameters!$B$27/1000)</f>
        <v>0.029635019635019633</v>
      </c>
      <c r="I18" s="42">
        <f>H18/EXP(-0.693*(Parameters!$D$25)/(Parameters!$B$8*24))</f>
        <v>0.029650234661785728</v>
      </c>
      <c r="J18" s="37">
        <f t="shared" si="0"/>
        <v>1.097058682486072</v>
      </c>
    </row>
    <row r="19" spans="1:10" ht="12.75">
      <c r="A19" s="20">
        <v>7</v>
      </c>
      <c r="B19" s="29">
        <v>9558</v>
      </c>
      <c r="C19" s="29">
        <v>8447</v>
      </c>
      <c r="D19" s="29">
        <v>9503</v>
      </c>
      <c r="E19" s="35">
        <f t="shared" si="1"/>
        <v>9169.333333333334</v>
      </c>
      <c r="F19" s="35">
        <f t="shared" si="2"/>
        <v>9158.333333333334</v>
      </c>
      <c r="G19" s="35">
        <f>F19/(Parameters!$B$9*Parameters!$B$20)</f>
        <v>14089.74358974359</v>
      </c>
      <c r="H19" s="42">
        <f>G19/(37000*60*Parameters!$B$27/1000)</f>
        <v>0.06346731346731346</v>
      </c>
      <c r="I19" s="42">
        <f>H19/EXP(-0.693*(Parameters!$D$25)/(Parameters!$B$8*24))</f>
        <v>0.06349989845915995</v>
      </c>
      <c r="J19" s="37">
        <f t="shared" si="0"/>
        <v>2.349496242988918</v>
      </c>
    </row>
    <row r="20" spans="1:10" ht="12.75">
      <c r="A20" s="20">
        <v>8</v>
      </c>
      <c r="B20" s="29">
        <v>8970</v>
      </c>
      <c r="C20" s="29">
        <v>9266</v>
      </c>
      <c r="D20" s="29">
        <v>10171</v>
      </c>
      <c r="E20" s="35">
        <f t="shared" si="1"/>
        <v>9469</v>
      </c>
      <c r="F20" s="35">
        <f t="shared" si="2"/>
        <v>9458</v>
      </c>
      <c r="G20" s="35">
        <f>F20/(Parameters!$B$9*Parameters!$B$20)</f>
        <v>14550.76923076923</v>
      </c>
      <c r="H20" s="42">
        <f>G20/(37000*60*Parameters!$B$27/1000)</f>
        <v>0.06554400554400554</v>
      </c>
      <c r="I20" s="42">
        <f>H20/EXP(-0.693*(Parameters!$D$25)/(Parameters!$B$8*24))</f>
        <v>0.065577656738133</v>
      </c>
      <c r="J20" s="37">
        <f t="shared" si="0"/>
        <v>2.426373299310921</v>
      </c>
    </row>
    <row r="21" spans="1:10" ht="12.75">
      <c r="A21" s="20">
        <v>9</v>
      </c>
      <c r="B21" s="29">
        <v>13630</v>
      </c>
      <c r="C21" s="29">
        <v>12164</v>
      </c>
      <c r="D21" s="29">
        <v>12307</v>
      </c>
      <c r="E21" s="35">
        <f t="shared" si="1"/>
        <v>12700.333333333334</v>
      </c>
      <c r="F21" s="35">
        <f t="shared" si="2"/>
        <v>12689.333333333334</v>
      </c>
      <c r="G21" s="35">
        <f>F21/(Parameters!$B$9*Parameters!$B$20)</f>
        <v>19522.05128205128</v>
      </c>
      <c r="H21" s="42">
        <f>G21/(37000*60*Parameters!$B$27/1000)</f>
        <v>0.08793716793716794</v>
      </c>
      <c r="I21" s="42">
        <f>H21/EXP(-0.693*(Parameters!$D$25)/(Parameters!$B$8*24))</f>
        <v>0.08798231608892815</v>
      </c>
      <c r="J21" s="37">
        <f t="shared" si="0"/>
        <v>3.2553456952903415</v>
      </c>
    </row>
    <row r="22" spans="1:10" ht="12.75">
      <c r="A22" s="20">
        <v>10</v>
      </c>
      <c r="B22" s="29">
        <v>12753</v>
      </c>
      <c r="C22" s="29">
        <v>15354</v>
      </c>
      <c r="D22" s="29">
        <v>15958</v>
      </c>
      <c r="E22" s="35">
        <f t="shared" si="1"/>
        <v>14688.333333333334</v>
      </c>
      <c r="F22" s="35">
        <f t="shared" si="2"/>
        <v>14677.333333333334</v>
      </c>
      <c r="G22" s="35">
        <f>F22/(Parameters!$B$9*Parameters!$B$20)</f>
        <v>22580.51282051282</v>
      </c>
      <c r="H22" s="42">
        <f>G22/(37000*60*Parameters!$B$27/1000)</f>
        <v>0.10171402171402172</v>
      </c>
      <c r="I22" s="42">
        <f>H22/EXP(-0.693*(Parameters!$D$25)/(Parameters!$B$8*24))</f>
        <v>0.10176624309203752</v>
      </c>
      <c r="J22" s="37">
        <f t="shared" si="0"/>
        <v>3.7653509944053885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2">
      <selection activeCell="F45" sqref="F45"/>
    </sheetView>
  </sheetViews>
  <sheetFormatPr defaultColWidth="9.140625" defaultRowHeight="12.75"/>
  <cols>
    <col min="1" max="1" width="6.57421875" style="64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4" t="s">
        <v>45</v>
      </c>
      <c r="B3" s="20"/>
      <c r="C3" s="20">
        <f>Parameters!$B$3</f>
        <v>37032</v>
      </c>
      <c r="D3" s="20"/>
      <c r="E3" s="20"/>
      <c r="F3" s="20"/>
    </row>
    <row r="4" spans="1:6" ht="12.75">
      <c r="A4" s="64" t="s">
        <v>12</v>
      </c>
      <c r="B4" s="20"/>
      <c r="C4" s="43">
        <f>Parameters!$B$1</f>
        <v>37014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4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5">
        <v>1</v>
      </c>
      <c r="B13" s="28">
        <v>6134</v>
      </c>
      <c r="C13" s="28">
        <v>6219</v>
      </c>
      <c r="D13" s="28">
        <v>6161</v>
      </c>
      <c r="E13" s="34">
        <f>IF(Parameters!$B$33="Yes",AVERAGE(G13:J13),AVERAGE(B13:D13))</f>
        <v>6171.333333333333</v>
      </c>
      <c r="F13" s="34">
        <f>IF(Parameters!$B$33="Yes",E13*10000,(E13-Parameters!$B$31)*Parameters!$B$32*(100/Parameters!$B$29)*(500/Parameters!$B$30))</f>
        <v>2462933.333333333</v>
      </c>
      <c r="G13" s="26"/>
      <c r="H13" s="26"/>
      <c r="I13" s="26"/>
      <c r="J13" s="26"/>
    </row>
    <row r="14" spans="1:10" ht="12.75">
      <c r="A14" s="65">
        <v>2</v>
      </c>
      <c r="B14" s="28">
        <v>6789</v>
      </c>
      <c r="C14" s="28">
        <v>6628</v>
      </c>
      <c r="D14" s="28">
        <v>6961</v>
      </c>
      <c r="E14" s="34">
        <f>IF(Parameters!$B$33="Yes",AVERAGE(G14:J14),AVERAGE(B14:D14))</f>
        <v>6792.666666666667</v>
      </c>
      <c r="F14" s="34">
        <f>IF(Parameters!$B$33="Yes",E14*10000,(E14-Parameters!$B$31)*Parameters!$B$32*(100/Parameters!$B$29)*(500/Parameters!$B$30))</f>
        <v>2711466.666666667</v>
      </c>
      <c r="G14" s="26"/>
      <c r="H14" s="26"/>
      <c r="I14" s="26"/>
      <c r="J14" s="26"/>
    </row>
    <row r="15" spans="1:10" ht="12.75">
      <c r="A15" s="64">
        <v>3</v>
      </c>
      <c r="B15" s="29">
        <v>6934</v>
      </c>
      <c r="C15" s="29">
        <v>6950</v>
      </c>
      <c r="D15" s="29">
        <v>6751</v>
      </c>
      <c r="E15" s="35">
        <f>IF(Parameters!$B$33="Yes",AVERAGE(G15:J15),AVERAGE(B15:D15))</f>
        <v>6878.333333333333</v>
      </c>
      <c r="F15" s="35">
        <f>IF(Parameters!$B$33="Yes",E15*10000,(E15-Parameters!$B$31)*Parameters!$B$32*(100/Parameters!$B$29)*(500/Parameters!$B$30))</f>
        <v>2745733.333333333</v>
      </c>
      <c r="G15" s="26"/>
      <c r="H15" s="26"/>
      <c r="I15" s="26"/>
      <c r="J15" s="26"/>
    </row>
    <row r="16" spans="1:10" ht="12.75">
      <c r="A16" s="64">
        <v>4</v>
      </c>
      <c r="B16" s="29">
        <v>7188</v>
      </c>
      <c r="C16" s="29">
        <v>7166</v>
      </c>
      <c r="D16" s="29">
        <v>7101</v>
      </c>
      <c r="E16" s="35">
        <f>IF(Parameters!$B$33="Yes",AVERAGE(G16:J16),AVERAGE(B16:D16))</f>
        <v>7151.666666666667</v>
      </c>
      <c r="F16" s="35">
        <f>IF(Parameters!$B$33="Yes",E16*10000,(E16-Parameters!$B$31)*Parameters!$B$32*(100/Parameters!$B$29)*(500/Parameters!$B$30))</f>
        <v>2855066.666666667</v>
      </c>
      <c r="G16" s="26"/>
      <c r="H16" s="26"/>
      <c r="I16" s="26"/>
      <c r="J16" s="26"/>
    </row>
    <row r="17" spans="1:10" ht="12.75">
      <c r="A17" s="64">
        <v>5</v>
      </c>
      <c r="B17" s="29">
        <v>7464</v>
      </c>
      <c r="C17" s="29">
        <v>7568</v>
      </c>
      <c r="D17" s="29">
        <v>7366</v>
      </c>
      <c r="E17" s="35">
        <f>IF(Parameters!$B$33="Yes",AVERAGE(G17:J17),AVERAGE(B17:D17))</f>
        <v>7466</v>
      </c>
      <c r="F17" s="35">
        <f>IF(Parameters!$B$33="Yes",E17*10000,(E17-Parameters!$B$31)*Parameters!$B$32*(100/Parameters!$B$29)*(500/Parameters!$B$30))</f>
        <v>2980800</v>
      </c>
      <c r="G17" s="26"/>
      <c r="H17" s="26"/>
      <c r="I17" s="26"/>
      <c r="J17" s="26"/>
    </row>
    <row r="18" spans="1:10" ht="12.75">
      <c r="A18" s="64">
        <v>6</v>
      </c>
      <c r="B18" s="29">
        <v>6720</v>
      </c>
      <c r="C18" s="29">
        <v>6864</v>
      </c>
      <c r="D18" s="29">
        <v>6800</v>
      </c>
      <c r="E18" s="35">
        <f>IF(Parameters!$B$33="Yes",AVERAGE(G18:J18),AVERAGE(B18:D18))</f>
        <v>6794.666666666667</v>
      </c>
      <c r="F18" s="35">
        <f>IF(Parameters!$B$33="Yes",E18*10000,(E18-Parameters!$B$31)*Parameters!$B$32*(100/Parameters!$B$29)*(500/Parameters!$B$30))</f>
        <v>2712266.666666667</v>
      </c>
      <c r="G18" s="26"/>
      <c r="H18" s="26"/>
      <c r="I18" s="26"/>
      <c r="J18" s="26"/>
    </row>
    <row r="19" spans="1:10" ht="12.75">
      <c r="A19" s="64">
        <v>7</v>
      </c>
      <c r="B19" s="29">
        <v>6437</v>
      </c>
      <c r="C19" s="29">
        <v>6516</v>
      </c>
      <c r="D19" s="29">
        <v>6442</v>
      </c>
      <c r="E19" s="35">
        <f>IF(Parameters!$B$33="Yes",AVERAGE(G19:J19),AVERAGE(B19:D19))</f>
        <v>6465</v>
      </c>
      <c r="F19" s="35">
        <f>IF(Parameters!$B$33="Yes",E19*10000,(E19-Parameters!$B$31)*Parameters!$B$32*(100/Parameters!$B$29)*(500/Parameters!$B$30))</f>
        <v>2580400</v>
      </c>
      <c r="G19" s="26"/>
      <c r="H19" s="26"/>
      <c r="I19" s="26"/>
      <c r="J19" s="26"/>
    </row>
    <row r="20" spans="1:10" ht="12.75">
      <c r="A20" s="64">
        <v>8</v>
      </c>
      <c r="B20" s="29">
        <v>6548</v>
      </c>
      <c r="C20" s="29">
        <v>6789</v>
      </c>
      <c r="D20" s="29">
        <v>6661</v>
      </c>
      <c r="E20" s="35">
        <f>IF(Parameters!$B$33="Yes",AVERAGE(G20:J20),AVERAGE(B20:D20))</f>
        <v>6666</v>
      </c>
      <c r="F20" s="35">
        <f>IF(Parameters!$B$33="Yes",E20*10000,(E20-Parameters!$B$31)*Parameters!$B$32*(100/Parameters!$B$29)*(500/Parameters!$B$30))</f>
        <v>2660800</v>
      </c>
      <c r="G20" s="26"/>
      <c r="H20" s="26"/>
      <c r="I20" s="26"/>
      <c r="J20" s="26"/>
    </row>
    <row r="21" spans="1:10" ht="12.75">
      <c r="A21" s="64">
        <v>9</v>
      </c>
      <c r="B21" s="29">
        <v>6044</v>
      </c>
      <c r="C21" s="29">
        <v>6415</v>
      </c>
      <c r="D21" s="29">
        <v>6176</v>
      </c>
      <c r="E21" s="35">
        <f>IF(Parameters!$B$33="Yes",AVERAGE(G21:J21),AVERAGE(B21:D21))</f>
        <v>6211.666666666667</v>
      </c>
      <c r="F21" s="35">
        <f>IF(Parameters!$B$33="Yes",E21*10000,(E21-Parameters!$B$31)*Parameters!$B$32*(100/Parameters!$B$29)*(500/Parameters!$B$30))</f>
        <v>2479066.666666667</v>
      </c>
      <c r="G21" s="26"/>
      <c r="H21" s="26"/>
      <c r="I21" s="26"/>
      <c r="J21" s="26"/>
    </row>
    <row r="22" spans="1:10" ht="12.75">
      <c r="A22" s="64">
        <v>10</v>
      </c>
      <c r="B22" s="29">
        <v>6515</v>
      </c>
      <c r="C22" s="29">
        <v>6607</v>
      </c>
      <c r="D22" s="29">
        <v>6469</v>
      </c>
      <c r="E22" s="35">
        <f>IF(Parameters!$B$33="Yes",AVERAGE(G22:J22),AVERAGE(B22:D22))</f>
        <v>6530.333333333333</v>
      </c>
      <c r="F22" s="35">
        <f>IF(Parameters!$B$33="Yes",E22*10000,(E22-Parameters!$B$31)*Parameters!$B$32*(100/Parameters!$B$29)*(500/Parameters!$B$30))</f>
        <v>2606533.333333333</v>
      </c>
      <c r="G22" s="26"/>
      <c r="H22" s="26"/>
      <c r="I22" s="26"/>
      <c r="J22" s="26"/>
    </row>
    <row r="29" spans="1:10" ht="12.75">
      <c r="A29" s="64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5">
        <v>1</v>
      </c>
      <c r="B35" s="26">
        <v>200</v>
      </c>
      <c r="C35" s="34">
        <f>F13/(10000*200/B35)</f>
        <v>246.2933333333333</v>
      </c>
      <c r="D35" s="28">
        <v>86</v>
      </c>
      <c r="E35" s="28">
        <v>78</v>
      </c>
      <c r="F35" s="28">
        <v>72</v>
      </c>
      <c r="G35" s="34">
        <f>AVERAGE(D35:F36)</f>
        <v>70.83333333333333</v>
      </c>
      <c r="H35" s="44">
        <f>G35/AVERAGE($C$35,$C$36)*100</f>
        <v>27.378375592661303</v>
      </c>
      <c r="I35" s="61">
        <f>G35*200/B35/$G$35</f>
        <v>1</v>
      </c>
      <c r="J35" s="60">
        <f>(G35/AVERAGE(C35:C36))/($G$35/AVERAGE($C$35,$C$36))</f>
        <v>1</v>
      </c>
    </row>
    <row r="36" spans="1:10" ht="12.75">
      <c r="A36" s="65">
        <v>2</v>
      </c>
      <c r="B36" s="26">
        <v>200</v>
      </c>
      <c r="C36" s="34">
        <f aca="true" t="shared" si="0" ref="C36:C44">F14/(10000*200/B36)</f>
        <v>271.1466666666667</v>
      </c>
      <c r="D36" s="28">
        <v>50</v>
      </c>
      <c r="E36" s="28">
        <v>76</v>
      </c>
      <c r="F36" s="28">
        <v>63</v>
      </c>
      <c r="G36" s="34"/>
      <c r="H36" s="44"/>
      <c r="I36" s="45"/>
      <c r="J36" s="37"/>
    </row>
    <row r="37" spans="1:10" ht="12.75">
      <c r="A37" s="64">
        <v>3</v>
      </c>
      <c r="B37" s="26">
        <v>200</v>
      </c>
      <c r="C37" s="35">
        <f t="shared" si="0"/>
        <v>274.5733333333333</v>
      </c>
      <c r="D37" s="29">
        <v>71</v>
      </c>
      <c r="E37" s="29">
        <v>81</v>
      </c>
      <c r="F37" s="29">
        <v>68</v>
      </c>
      <c r="G37" s="35">
        <f aca="true" t="shared" si="1" ref="G37:G44">AVERAGE(D37:F37)</f>
        <v>73.33333333333333</v>
      </c>
      <c r="H37" s="46">
        <f aca="true" t="shared" si="2" ref="H37:H44">G37/C37*100</f>
        <v>26.70810469577041</v>
      </c>
      <c r="I37" s="37">
        <f aca="true" t="shared" si="3" ref="I37:I44">G37*200/B37/$G$35</f>
        <v>1.035294117647059</v>
      </c>
      <c r="J37" s="37">
        <f>(G37/C37)/($G$35/AVERAGE($C$35,$C$36))</f>
        <v>0.9755182372079606</v>
      </c>
    </row>
    <row r="38" spans="1:10" ht="12.75">
      <c r="A38" s="64">
        <v>4</v>
      </c>
      <c r="B38" s="26">
        <v>200</v>
      </c>
      <c r="C38" s="35">
        <f t="shared" si="0"/>
        <v>285.5066666666667</v>
      </c>
      <c r="D38" s="29">
        <v>68</v>
      </c>
      <c r="E38" s="29">
        <v>64</v>
      </c>
      <c r="F38" s="29">
        <v>66</v>
      </c>
      <c r="G38" s="35">
        <f t="shared" si="1"/>
        <v>66</v>
      </c>
      <c r="H38" s="46">
        <f t="shared" si="2"/>
        <v>23.116798206696863</v>
      </c>
      <c r="I38" s="37">
        <f t="shared" si="3"/>
        <v>0.931764705882353</v>
      </c>
      <c r="J38" s="37">
        <f aca="true" t="shared" si="4" ref="J38:J44">(G38/C38)/($G$35/AVERAGE($C$35,$C$36))</f>
        <v>0.8443451339345807</v>
      </c>
    </row>
    <row r="39" spans="1:10" ht="12.75">
      <c r="A39" s="64">
        <v>5</v>
      </c>
      <c r="B39" s="26">
        <v>200</v>
      </c>
      <c r="C39" s="35">
        <f t="shared" si="0"/>
        <v>298.08</v>
      </c>
      <c r="D39" s="29">
        <v>62</v>
      </c>
      <c r="E39" s="29">
        <v>55</v>
      </c>
      <c r="F39" s="29">
        <v>55</v>
      </c>
      <c r="G39" s="35">
        <f t="shared" si="1"/>
        <v>57.333333333333336</v>
      </c>
      <c r="H39" s="46">
        <f t="shared" si="2"/>
        <v>19.234210055466097</v>
      </c>
      <c r="I39" s="37">
        <f t="shared" si="3"/>
        <v>0.8094117647058825</v>
      </c>
      <c r="J39" s="37">
        <f t="shared" si="4"/>
        <v>0.702532916548262</v>
      </c>
    </row>
    <row r="40" spans="1:10" ht="12.75">
      <c r="A40" s="64">
        <v>6</v>
      </c>
      <c r="B40" s="26">
        <v>200</v>
      </c>
      <c r="C40" s="35">
        <f t="shared" si="0"/>
        <v>271.2266666666667</v>
      </c>
      <c r="D40" s="29">
        <v>81</v>
      </c>
      <c r="E40" s="29">
        <v>66</v>
      </c>
      <c r="F40" s="29">
        <v>67</v>
      </c>
      <c r="G40" s="35">
        <f t="shared" si="1"/>
        <v>71.33333333333333</v>
      </c>
      <c r="H40" s="46">
        <f t="shared" si="2"/>
        <v>26.300265460623333</v>
      </c>
      <c r="I40" s="37">
        <f t="shared" si="3"/>
        <v>1.0070588235294118</v>
      </c>
      <c r="J40" s="37">
        <f t="shared" si="4"/>
        <v>0.960621837172584</v>
      </c>
    </row>
    <row r="41" spans="1:10" ht="12.75">
      <c r="A41" s="64">
        <v>7</v>
      </c>
      <c r="B41" s="26">
        <v>200</v>
      </c>
      <c r="C41" s="35">
        <f t="shared" si="0"/>
        <v>258.04</v>
      </c>
      <c r="D41" s="29">
        <v>29</v>
      </c>
      <c r="E41" s="29">
        <v>38</v>
      </c>
      <c r="F41" s="29">
        <v>46</v>
      </c>
      <c r="G41" s="35">
        <f t="shared" si="1"/>
        <v>37.666666666666664</v>
      </c>
      <c r="H41" s="46">
        <f t="shared" si="2"/>
        <v>14.597220069239908</v>
      </c>
      <c r="I41" s="37">
        <f t="shared" si="3"/>
        <v>0.5317647058823529</v>
      </c>
      <c r="J41" s="37">
        <f t="shared" si="4"/>
        <v>0.533166039009</v>
      </c>
    </row>
    <row r="42" spans="1:10" ht="12.75">
      <c r="A42" s="64">
        <v>8</v>
      </c>
      <c r="B42" s="26">
        <v>200</v>
      </c>
      <c r="C42" s="35">
        <f t="shared" si="0"/>
        <v>266.08</v>
      </c>
      <c r="D42" s="29">
        <v>54</v>
      </c>
      <c r="E42" s="29">
        <v>53</v>
      </c>
      <c r="F42" s="29">
        <v>51</v>
      </c>
      <c r="G42" s="35">
        <f t="shared" si="1"/>
        <v>52.666666666666664</v>
      </c>
      <c r="H42" s="46">
        <f t="shared" si="2"/>
        <v>19.793545800761674</v>
      </c>
      <c r="I42" s="37">
        <f t="shared" si="3"/>
        <v>0.7435294117647058</v>
      </c>
      <c r="J42" s="37">
        <f t="shared" si="4"/>
        <v>0.722962753351491</v>
      </c>
    </row>
    <row r="43" spans="1:10" ht="12.75">
      <c r="A43" s="64">
        <v>9</v>
      </c>
      <c r="B43" s="26">
        <v>200</v>
      </c>
      <c r="C43" s="35">
        <f t="shared" si="0"/>
        <v>247.9066666666667</v>
      </c>
      <c r="D43" s="29">
        <v>38</v>
      </c>
      <c r="E43" s="29">
        <v>46</v>
      </c>
      <c r="F43" s="29">
        <v>38</v>
      </c>
      <c r="G43" s="35">
        <f t="shared" si="1"/>
        <v>40.666666666666664</v>
      </c>
      <c r="H43" s="46">
        <f t="shared" si="2"/>
        <v>16.404023019415906</v>
      </c>
      <c r="I43" s="37">
        <f t="shared" si="3"/>
        <v>0.5741176470588235</v>
      </c>
      <c r="J43" s="37">
        <f t="shared" si="4"/>
        <v>0.5991598356117577</v>
      </c>
    </row>
    <row r="44" spans="1:10" ht="12.75">
      <c r="A44" s="64">
        <v>10</v>
      </c>
      <c r="B44" s="26">
        <v>200</v>
      </c>
      <c r="C44" s="35">
        <f t="shared" si="0"/>
        <v>260.6533333333333</v>
      </c>
      <c r="D44" s="29">
        <v>40</v>
      </c>
      <c r="E44" s="29">
        <v>36</v>
      </c>
      <c r="F44" s="29">
        <v>36</v>
      </c>
      <c r="G44" s="35">
        <f t="shared" si="1"/>
        <v>37.333333333333336</v>
      </c>
      <c r="H44" s="46">
        <f t="shared" si="2"/>
        <v>14.322983272801682</v>
      </c>
      <c r="I44" s="37">
        <f t="shared" si="3"/>
        <v>0.5270588235294118</v>
      </c>
      <c r="J44" s="37">
        <f t="shared" si="4"/>
        <v>0.523149491624365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7">
      <selection activeCell="D13" sqref="D13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37014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60">
        <f>CoulterSurvival!I35</f>
        <v>1</v>
      </c>
      <c r="E13" s="60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60"/>
      <c r="E14" s="60"/>
    </row>
    <row r="15" spans="1:5" ht="12.75">
      <c r="A15" s="20">
        <v>3</v>
      </c>
      <c r="B15" s="46">
        <f>MediumActivity!J15</f>
        <v>19.36017249189259</v>
      </c>
      <c r="C15" s="46">
        <f>CellSuspension!J15/(CoulterSurvival!F15*Parameters!$B$14)*1000000</f>
        <v>0.2438599383944379</v>
      </c>
      <c r="D15" s="37">
        <f>CoulterSurvival!I37</f>
        <v>1.035294117647059</v>
      </c>
      <c r="E15" s="37">
        <f>CoulterSurvival!J37</f>
        <v>0.9755182372079606</v>
      </c>
    </row>
    <row r="16" spans="1:5" ht="12.75">
      <c r="A16" s="20">
        <v>4</v>
      </c>
      <c r="B16" s="46">
        <f>MediumActivity!J16</f>
        <v>28.160535920080676</v>
      </c>
      <c r="C16" s="46">
        <f>CellSuspension!J16/(CoulterSurvival!F16*Parameters!$B$14)*1000000</f>
        <v>0.6663344312719615</v>
      </c>
      <c r="D16" s="37">
        <f>CoulterSurvival!I38</f>
        <v>0.931764705882353</v>
      </c>
      <c r="E16" s="37">
        <f>CoulterSurvival!J38</f>
        <v>0.8443451339345807</v>
      </c>
    </row>
    <row r="17" spans="1:5" ht="12.75">
      <c r="A17" s="20">
        <v>5</v>
      </c>
      <c r="B17" s="46">
        <f>MediumActivity!J17</f>
        <v>36.54875640497429</v>
      </c>
      <c r="C17" s="46">
        <f>CellSuspension!J17/(CoulterSurvival!F17*Parameters!$B$14)*1000000</f>
        <v>0.4629998366933652</v>
      </c>
      <c r="D17" s="37">
        <f>CoulterSurvival!I39</f>
        <v>0.8094117647058825</v>
      </c>
      <c r="E17" s="37">
        <f>CoulterSurvival!J39</f>
        <v>0.702532916548262</v>
      </c>
    </row>
    <row r="18" spans="1:5" ht="12.75">
      <c r="A18" s="20">
        <v>6</v>
      </c>
      <c r="B18" s="46">
        <f>MediumActivity!J18</f>
        <v>47.62987213761765</v>
      </c>
      <c r="C18" s="46">
        <f>CellSuspension!J18/(CoulterSurvival!F18*Parameters!$B$14)*1000000</f>
        <v>0.4044803912420381</v>
      </c>
      <c r="D18" s="37">
        <f>CoulterSurvival!I40</f>
        <v>1.0070588235294118</v>
      </c>
      <c r="E18" s="37">
        <f>CoulterSurvival!J40</f>
        <v>0.960621837172584</v>
      </c>
    </row>
    <row r="19" spans="1:5" ht="12.75">
      <c r="A19" s="20">
        <v>7</v>
      </c>
      <c r="B19" s="46">
        <f>MediumActivity!J19</f>
        <v>61.53670373459113</v>
      </c>
      <c r="C19" s="46">
        <f>CellSuspension!J19/(CoulterSurvival!F19*Parameters!$B$14)*1000000</f>
        <v>0.9105162932060604</v>
      </c>
      <c r="D19" s="37">
        <f>CoulterSurvival!I41</f>
        <v>0.5317647058823529</v>
      </c>
      <c r="E19" s="37">
        <f>CoulterSurvival!J41</f>
        <v>0.533166039009</v>
      </c>
    </row>
    <row r="20" spans="1:5" ht="12.75">
      <c r="A20" s="20">
        <v>8</v>
      </c>
      <c r="B20" s="46">
        <f>MediumActivity!J20</f>
        <v>82.3986612667455</v>
      </c>
      <c r="C20" s="46">
        <f>CellSuspension!J20/(CoulterSurvival!F20*Parameters!$B$14)*1000000</f>
        <v>0.9118961587909353</v>
      </c>
      <c r="D20" s="37">
        <f>CoulterSurvival!I42</f>
        <v>0.7435294117647058</v>
      </c>
      <c r="E20" s="37">
        <f>CoulterSurvival!J42</f>
        <v>0.722962753351491</v>
      </c>
    </row>
    <row r="21" spans="1:5" ht="12.75">
      <c r="A21" s="20">
        <v>9</v>
      </c>
      <c r="B21" s="46">
        <f>MediumActivity!J21</f>
        <v>101.55561251481448</v>
      </c>
      <c r="C21" s="46">
        <f>CellSuspension!J21/(CoulterSurvival!F21*Parameters!$B$14)*1000000</f>
        <v>1.3131335833204731</v>
      </c>
      <c r="D21" s="37">
        <f>CoulterSurvival!I43</f>
        <v>0.5741176470588235</v>
      </c>
      <c r="E21" s="37">
        <f>CoulterSurvival!J43</f>
        <v>0.5991598356117577</v>
      </c>
    </row>
    <row r="22" spans="1:5" ht="12.75">
      <c r="A22" s="20">
        <v>10</v>
      </c>
      <c r="B22" s="46">
        <f>MediumActivity!J22</f>
        <v>119.17401078369704</v>
      </c>
      <c r="C22" s="46">
        <f>CellSuspension!J22/(CoulterSurvival!F22*Parameters!$B$14)*1000000</f>
        <v>1.444581945779345</v>
      </c>
      <c r="D22" s="37">
        <f>CoulterSurvival!I44</f>
        <v>0.5270588235294118</v>
      </c>
      <c r="E22" s="37">
        <f>CoulterSurvival!J44</f>
        <v>0.523149491624365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D1">
      <selection activeCell="B13" sqref="B13:E22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37014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60">
        <f>CoulterSurvival!I35</f>
        <v>1</v>
      </c>
      <c r="E13" s="60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60"/>
      <c r="E14" s="60"/>
    </row>
    <row r="15" spans="1:5" ht="12.75">
      <c r="A15" s="20">
        <v>3</v>
      </c>
      <c r="B15" s="46">
        <f>MediumActivity!J15</f>
        <v>19.36017249189259</v>
      </c>
      <c r="C15" s="46">
        <f>CellSuspension!J15/(CoulterSurvival!F15*Parameters!$B$14)*1000000</f>
        <v>0.2438599383944379</v>
      </c>
      <c r="D15" s="37">
        <f>CoulterSurvival!I37</f>
        <v>1.035294117647059</v>
      </c>
      <c r="E15" s="37">
        <f>CoulterSurvival!J37</f>
        <v>0.9755182372079606</v>
      </c>
    </row>
    <row r="16" spans="1:5" ht="12.75">
      <c r="A16" s="20">
        <v>4</v>
      </c>
      <c r="B16" s="46">
        <f>MediumActivity!J16</f>
        <v>28.160535920080676</v>
      </c>
      <c r="C16" s="46">
        <f>CellSuspension!J16/(CoulterSurvival!F16*Parameters!$B$14)*1000000</f>
        <v>0.6663344312719615</v>
      </c>
      <c r="D16" s="37">
        <f>CoulterSurvival!I38</f>
        <v>0.931764705882353</v>
      </c>
      <c r="E16" s="37">
        <f>CoulterSurvival!J38</f>
        <v>0.8443451339345807</v>
      </c>
    </row>
    <row r="17" spans="1:5" ht="12.75">
      <c r="A17" s="20">
        <v>5</v>
      </c>
      <c r="B17" s="46">
        <f>MediumActivity!J17</f>
        <v>36.54875640497429</v>
      </c>
      <c r="C17" s="46">
        <f>CellSuspension!J17/(CoulterSurvival!F17*Parameters!$B$14)*1000000</f>
        <v>0.4629998366933652</v>
      </c>
      <c r="D17" s="37">
        <f>CoulterSurvival!I39</f>
        <v>0.8094117647058825</v>
      </c>
      <c r="E17" s="37">
        <f>CoulterSurvival!J39</f>
        <v>0.702532916548262</v>
      </c>
    </row>
    <row r="18" spans="1:5" ht="12.75">
      <c r="A18" s="20">
        <v>6</v>
      </c>
      <c r="B18" s="46">
        <f>MediumActivity!J18</f>
        <v>47.62987213761765</v>
      </c>
      <c r="C18" s="46">
        <f>CellSuspension!J18/(CoulterSurvival!F18*Parameters!$B$14)*1000000</f>
        <v>0.4044803912420381</v>
      </c>
      <c r="D18" s="37">
        <f>CoulterSurvival!I40</f>
        <v>1.0070588235294118</v>
      </c>
      <c r="E18" s="37">
        <f>CoulterSurvival!J40</f>
        <v>0.960621837172584</v>
      </c>
    </row>
    <row r="19" spans="1:5" ht="12.75">
      <c r="A19" s="20">
        <v>7</v>
      </c>
      <c r="B19" s="46">
        <f>MediumActivity!J19</f>
        <v>61.53670373459113</v>
      </c>
      <c r="C19" s="46">
        <f>CellSuspension!J19/(CoulterSurvival!F19*Parameters!$B$14)*1000000</f>
        <v>0.9105162932060604</v>
      </c>
      <c r="D19" s="37">
        <f>CoulterSurvival!I41</f>
        <v>0.5317647058823529</v>
      </c>
      <c r="E19" s="37">
        <f>CoulterSurvival!J41</f>
        <v>0.533166039009</v>
      </c>
    </row>
    <row r="20" spans="1:5" ht="12.75">
      <c r="A20" s="20">
        <v>8</v>
      </c>
      <c r="B20" s="46">
        <f>MediumActivity!J20</f>
        <v>82.3986612667455</v>
      </c>
      <c r="C20" s="46">
        <f>CellSuspension!J20/(CoulterSurvival!F20*Parameters!$B$14)*1000000</f>
        <v>0.9118961587909353</v>
      </c>
      <c r="D20" s="37">
        <f>CoulterSurvival!I42</f>
        <v>0.7435294117647058</v>
      </c>
      <c r="E20" s="37">
        <f>CoulterSurvival!J42</f>
        <v>0.722962753351491</v>
      </c>
    </row>
    <row r="21" spans="1:5" ht="12.75">
      <c r="A21" s="20">
        <v>9</v>
      </c>
      <c r="B21" s="46">
        <f>MediumActivity!J21</f>
        <v>101.55561251481448</v>
      </c>
      <c r="C21" s="46">
        <f>CellSuspension!J21/(CoulterSurvival!F21*Parameters!$B$14)*1000000</f>
        <v>1.3131335833204731</v>
      </c>
      <c r="D21" s="37">
        <f>CoulterSurvival!I43</f>
        <v>0.5741176470588235</v>
      </c>
      <c r="E21" s="37">
        <f>CoulterSurvival!J43</f>
        <v>0.5991598356117577</v>
      </c>
    </row>
    <row r="22" spans="1:5" ht="12.75">
      <c r="A22" s="20">
        <v>10</v>
      </c>
      <c r="B22" s="46">
        <f>MediumActivity!J22</f>
        <v>119.17401078369704</v>
      </c>
      <c r="C22" s="46">
        <f>CellSuspension!J22/(CoulterSurvival!F22*Parameters!$B$14)*1000000</f>
        <v>1.444581945779345</v>
      </c>
      <c r="D22" s="37">
        <f>CoulterSurvival!I44</f>
        <v>0.5270588235294118</v>
      </c>
      <c r="E22" s="37">
        <f>CoulterSurvival!J44</f>
        <v>0.523149491624365</v>
      </c>
    </row>
    <row r="39" spans="2:3" ht="12.75">
      <c r="B39" s="68"/>
      <c r="C39" s="68"/>
    </row>
    <row r="40" spans="2:3" ht="12.75">
      <c r="B40" s="68"/>
      <c r="C40" s="68"/>
    </row>
    <row r="41" spans="2:3" ht="12.75">
      <c r="B41" s="68"/>
      <c r="C41" s="68"/>
    </row>
    <row r="42" spans="2:3" ht="12.75">
      <c r="B42" s="68"/>
      <c r="C42" s="68"/>
    </row>
    <row r="43" spans="2:3" ht="12.75">
      <c r="B43" s="68"/>
      <c r="C43" s="68"/>
    </row>
    <row r="44" spans="2:3" ht="12.75">
      <c r="B44" s="68"/>
      <c r="C44" s="68"/>
    </row>
    <row r="45" spans="2:3" ht="12.75">
      <c r="B45" s="68"/>
      <c r="C45" s="68"/>
    </row>
    <row r="46" spans="2:3" ht="12.75">
      <c r="B46" s="68"/>
      <c r="C46" s="68"/>
    </row>
    <row r="47" spans="2:3" ht="12.75">
      <c r="B47" s="68"/>
      <c r="C47" s="68"/>
    </row>
    <row r="48" spans="2:3" ht="12.75">
      <c r="B48" s="68"/>
      <c r="C48" s="68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W45"/>
  <sheetViews>
    <sheetView tabSelected="1" workbookViewId="0" topLeftCell="A4">
      <selection activeCell="S23" sqref="S23"/>
    </sheetView>
  </sheetViews>
  <sheetFormatPr defaultColWidth="9.140625" defaultRowHeight="12.75"/>
  <cols>
    <col min="1" max="1" width="6.28125" style="0" customWidth="1"/>
    <col min="2" max="2" width="11.28125" style="0" customWidth="1"/>
    <col min="3" max="3" width="10.140625" style="0" customWidth="1"/>
    <col min="4" max="4" width="6.57421875" style="0" customWidth="1"/>
    <col min="5" max="5" width="6.7109375" style="0" customWidth="1"/>
    <col min="6" max="6" width="1.28515625" style="0" customWidth="1"/>
    <col min="7" max="7" width="7.00390625" style="0" customWidth="1"/>
    <col min="8" max="8" width="6.421875" style="0" customWidth="1"/>
    <col min="9" max="9" width="6.57421875" style="0" customWidth="1"/>
    <col min="10" max="10" width="7.7109375" style="0" customWidth="1"/>
    <col min="11" max="11" width="4.421875" style="0" customWidth="1"/>
    <col min="13" max="13" width="9.7109375" style="0" bestFit="1" customWidth="1"/>
  </cols>
  <sheetData>
    <row r="3" spans="1:15" ht="12.75">
      <c r="A3" t="s">
        <v>1</v>
      </c>
      <c r="B3" t="s">
        <v>53</v>
      </c>
      <c r="C3" t="s">
        <v>54</v>
      </c>
      <c r="D3" t="s">
        <v>56</v>
      </c>
      <c r="E3" t="s">
        <v>56</v>
      </c>
      <c r="M3" t="s">
        <v>99</v>
      </c>
      <c r="N3" t="s">
        <v>54</v>
      </c>
      <c r="O3" t="s">
        <v>56</v>
      </c>
    </row>
    <row r="4" spans="2:15" ht="12.75">
      <c r="B4" t="s">
        <v>55</v>
      </c>
      <c r="C4" t="s">
        <v>13</v>
      </c>
      <c r="D4" t="s">
        <v>67</v>
      </c>
      <c r="E4" t="s">
        <v>68</v>
      </c>
      <c r="N4" t="s">
        <v>13</v>
      </c>
      <c r="O4" t="s">
        <v>68</v>
      </c>
    </row>
    <row r="7" spans="2:15" ht="12.75">
      <c r="B7" s="69" t="s">
        <v>98</v>
      </c>
      <c r="M7" s="76">
        <v>37032</v>
      </c>
      <c r="N7" s="74">
        <v>0</v>
      </c>
      <c r="O7" s="74">
        <v>1</v>
      </c>
    </row>
    <row r="8" spans="13:15" ht="12.75">
      <c r="M8" s="76">
        <v>37032</v>
      </c>
      <c r="N8" s="74">
        <v>0</v>
      </c>
      <c r="O8" s="74"/>
    </row>
    <row r="9" spans="1:23" ht="12.75">
      <c r="A9">
        <v>1</v>
      </c>
      <c r="B9" s="74">
        <v>0</v>
      </c>
      <c r="C9" s="74">
        <v>0</v>
      </c>
      <c r="D9" s="74">
        <v>1</v>
      </c>
      <c r="E9" s="74">
        <v>1</v>
      </c>
      <c r="M9" s="76">
        <v>37032</v>
      </c>
      <c r="N9" s="72">
        <v>0.2438599383944379</v>
      </c>
      <c r="O9" s="72">
        <v>0.9755182372079606</v>
      </c>
      <c r="V9" s="72">
        <v>0.2438599383944379</v>
      </c>
      <c r="W9" s="72">
        <v>0.9755182372079606</v>
      </c>
    </row>
    <row r="10" spans="1:23" ht="12.75">
      <c r="A10">
        <v>2</v>
      </c>
      <c r="B10" s="74">
        <v>0</v>
      </c>
      <c r="C10" s="74">
        <v>0</v>
      </c>
      <c r="D10" s="74"/>
      <c r="E10" s="74"/>
      <c r="M10" s="76">
        <v>37032</v>
      </c>
      <c r="N10" s="72">
        <v>0.6663344312719615</v>
      </c>
      <c r="O10" s="72">
        <v>0.8443451339345807</v>
      </c>
      <c r="V10" s="72">
        <v>0.6663344312719615</v>
      </c>
      <c r="W10" s="72">
        <v>0.8443451339345807</v>
      </c>
    </row>
    <row r="11" spans="1:23" ht="12.75">
      <c r="A11">
        <v>3</v>
      </c>
      <c r="B11" s="72">
        <v>19.36017249189259</v>
      </c>
      <c r="C11" s="72">
        <v>0.2438599383944379</v>
      </c>
      <c r="D11" s="72">
        <v>1.035294117647059</v>
      </c>
      <c r="E11" s="72">
        <v>0.9755182372079606</v>
      </c>
      <c r="M11" s="76">
        <v>37032</v>
      </c>
      <c r="N11" s="72">
        <v>0.4629998366933652</v>
      </c>
      <c r="O11" s="72">
        <v>0.702532916548262</v>
      </c>
      <c r="V11" s="72">
        <v>0.4629998366933652</v>
      </c>
      <c r="W11" s="72">
        <v>0.702532916548262</v>
      </c>
    </row>
    <row r="12" spans="1:23" ht="12.75">
      <c r="A12">
        <v>4</v>
      </c>
      <c r="B12" s="72">
        <v>28.160535920080676</v>
      </c>
      <c r="C12" s="72">
        <v>0.6663344312719615</v>
      </c>
      <c r="D12" s="72">
        <v>0.931764705882353</v>
      </c>
      <c r="E12" s="72">
        <v>0.8443451339345807</v>
      </c>
      <c r="M12" s="76">
        <v>37032</v>
      </c>
      <c r="N12" s="72">
        <v>0.4044803912420381</v>
      </c>
      <c r="O12" s="72">
        <v>0.960621837172584</v>
      </c>
      <c r="V12" s="72">
        <v>0.4044803912420381</v>
      </c>
      <c r="W12" s="72">
        <v>0.960621837172584</v>
      </c>
    </row>
    <row r="13" spans="1:23" ht="12.75">
      <c r="A13">
        <v>5</v>
      </c>
      <c r="B13" s="72">
        <v>36.54875640497429</v>
      </c>
      <c r="C13" s="72">
        <v>0.4629998366933652</v>
      </c>
      <c r="D13" s="72">
        <v>0.8094117647058825</v>
      </c>
      <c r="E13" s="72">
        <v>0.702532916548262</v>
      </c>
      <c r="M13" s="76">
        <v>37032</v>
      </c>
      <c r="N13" s="72">
        <v>0.9105162932060604</v>
      </c>
      <c r="O13" s="72">
        <v>0.533166039009</v>
      </c>
      <c r="V13" s="72">
        <v>0.9105162932060604</v>
      </c>
      <c r="W13" s="72">
        <v>0.533166039009</v>
      </c>
    </row>
    <row r="14" spans="1:23" ht="12.75">
      <c r="A14">
        <v>6</v>
      </c>
      <c r="B14" s="72">
        <v>47.62987213761765</v>
      </c>
      <c r="C14" s="72">
        <v>0.4044803912420381</v>
      </c>
      <c r="D14" s="72">
        <v>1.0070588235294118</v>
      </c>
      <c r="E14" s="72">
        <v>0.960621837172584</v>
      </c>
      <c r="M14" s="76">
        <v>37032</v>
      </c>
      <c r="N14" s="72">
        <v>0.9118961587909353</v>
      </c>
      <c r="O14" s="72">
        <v>0.722962753351491</v>
      </c>
      <c r="V14" s="72">
        <v>0.9118961587909353</v>
      </c>
      <c r="W14" s="72">
        <v>0.722962753351491</v>
      </c>
    </row>
    <row r="15" spans="1:23" ht="12.75">
      <c r="A15">
        <v>7</v>
      </c>
      <c r="B15" s="72">
        <v>61.53670373459113</v>
      </c>
      <c r="C15" s="72">
        <v>0.9105162932060604</v>
      </c>
      <c r="D15" s="72">
        <v>0.5317647058823529</v>
      </c>
      <c r="E15" s="72">
        <v>0.533166039009</v>
      </c>
      <c r="M15" s="76">
        <v>37032</v>
      </c>
      <c r="N15" s="72">
        <v>1.3131335833204731</v>
      </c>
      <c r="O15" s="72">
        <v>0.5991598356117577</v>
      </c>
      <c r="V15" s="72">
        <v>1.3131335833204731</v>
      </c>
      <c r="W15" s="72">
        <v>0.5991598356117577</v>
      </c>
    </row>
    <row r="16" spans="1:23" ht="12.75">
      <c r="A16">
        <v>8</v>
      </c>
      <c r="B16" s="72">
        <v>82.3986612667455</v>
      </c>
      <c r="C16" s="72">
        <v>0.9118961587909353</v>
      </c>
      <c r="D16" s="72">
        <v>0.7435294117647058</v>
      </c>
      <c r="E16" s="72">
        <v>0.722962753351491</v>
      </c>
      <c r="M16" s="76">
        <v>37032</v>
      </c>
      <c r="N16" s="72">
        <v>1.444581945779345</v>
      </c>
      <c r="O16" s="72">
        <v>0.523149491624365</v>
      </c>
      <c r="V16" s="72">
        <v>1.444581945779345</v>
      </c>
      <c r="W16" s="72">
        <v>0.523149491624365</v>
      </c>
    </row>
    <row r="17" spans="1:23" ht="12.75">
      <c r="A17">
        <v>9</v>
      </c>
      <c r="B17" s="72">
        <v>101.55561251481448</v>
      </c>
      <c r="C17" s="72">
        <v>1.3131335833204731</v>
      </c>
      <c r="D17" s="72">
        <v>0.5741176470588235</v>
      </c>
      <c r="E17" s="72">
        <v>0.5991598356117577</v>
      </c>
      <c r="M17" s="75">
        <v>37014</v>
      </c>
      <c r="N17" s="73">
        <v>0.27912640118298004</v>
      </c>
      <c r="O17" s="73">
        <v>0.7224880663377354</v>
      </c>
      <c r="P17" s="73"/>
      <c r="V17" s="73">
        <v>0.27912640118298004</v>
      </c>
      <c r="W17" s="73">
        <v>0.7224880663377354</v>
      </c>
    </row>
    <row r="18" spans="1:23" ht="12.75">
      <c r="A18">
        <v>10</v>
      </c>
      <c r="B18" s="72">
        <v>119.17401078369704</v>
      </c>
      <c r="C18" s="72">
        <v>1.444581945779345</v>
      </c>
      <c r="D18" s="72">
        <v>0.5270588235294118</v>
      </c>
      <c r="E18" s="72">
        <v>0.523149491624365</v>
      </c>
      <c r="M18" s="75">
        <v>37014</v>
      </c>
      <c r="N18" s="73">
        <v>0.2628398836715035</v>
      </c>
      <c r="O18" s="73">
        <v>0.5895861956060462</v>
      </c>
      <c r="P18" s="73"/>
      <c r="V18" s="73">
        <v>0.2628398836715035</v>
      </c>
      <c r="W18" s="73">
        <v>0.5895861956060462</v>
      </c>
    </row>
    <row r="19" spans="13:23" ht="12.75">
      <c r="M19" s="75">
        <v>37014</v>
      </c>
      <c r="N19" s="73">
        <v>0.35354309715938054</v>
      </c>
      <c r="O19" s="73">
        <v>0.503071083324116</v>
      </c>
      <c r="P19" s="73"/>
      <c r="V19" s="73">
        <v>0.35354309715938054</v>
      </c>
      <c r="W19" s="73">
        <v>0.503071083324116</v>
      </c>
    </row>
    <row r="20" spans="13:23" ht="12.75">
      <c r="M20" s="75">
        <v>37014</v>
      </c>
      <c r="N20" s="73">
        <v>0.4832695161855115</v>
      </c>
      <c r="O20" s="73">
        <v>0.6940216212794957</v>
      </c>
      <c r="P20" s="73"/>
      <c r="V20" s="73">
        <v>0.4832695161855115</v>
      </c>
      <c r="W20" s="73">
        <v>0.6940216212794957</v>
      </c>
    </row>
    <row r="21" spans="2:23" ht="12.75">
      <c r="B21" s="69">
        <v>37014</v>
      </c>
      <c r="M21" s="75">
        <v>37014</v>
      </c>
      <c r="N21" s="73">
        <v>1.228335919266792</v>
      </c>
      <c r="O21" s="73">
        <v>0.53</v>
      </c>
      <c r="V21" s="73">
        <v>1.228335919266792</v>
      </c>
      <c r="W21" s="73">
        <v>0.53</v>
      </c>
    </row>
    <row r="22" spans="13:23" ht="12.75">
      <c r="M22" s="75">
        <v>37014</v>
      </c>
      <c r="N22" s="73">
        <v>1.4620320002948104</v>
      </c>
      <c r="O22" s="73">
        <v>0.70752997713719</v>
      </c>
      <c r="V22" s="73">
        <v>1.4620320002948104</v>
      </c>
      <c r="W22" s="73">
        <v>0.70752997713719</v>
      </c>
    </row>
    <row r="23" spans="1:23" ht="12.75">
      <c r="A23">
        <v>1</v>
      </c>
      <c r="B23" s="71">
        <v>0</v>
      </c>
      <c r="C23" s="71">
        <v>0</v>
      </c>
      <c r="D23" s="71">
        <v>1</v>
      </c>
      <c r="E23" s="71">
        <v>1</v>
      </c>
      <c r="M23" s="75">
        <v>37014</v>
      </c>
      <c r="N23" s="73">
        <v>1.5929597145276764</v>
      </c>
      <c r="O23" s="73">
        <v>0.5883019209160608</v>
      </c>
      <c r="V23" s="73">
        <v>1.5929597145276764</v>
      </c>
      <c r="W23" s="73">
        <v>0.5883019209160608</v>
      </c>
    </row>
    <row r="24" spans="1:23" ht="12.75">
      <c r="A24">
        <v>2</v>
      </c>
      <c r="B24" s="71">
        <v>0</v>
      </c>
      <c r="C24" s="71">
        <v>0</v>
      </c>
      <c r="D24" s="71"/>
      <c r="E24" s="71"/>
      <c r="M24" s="75">
        <v>37014</v>
      </c>
      <c r="N24" s="73">
        <v>1.257512695658633</v>
      </c>
      <c r="O24" s="73">
        <v>0.7991580391038766</v>
      </c>
      <c r="V24" s="73">
        <v>1.257512695658633</v>
      </c>
      <c r="W24" s="73">
        <v>0.7991580391038766</v>
      </c>
    </row>
    <row r="25" spans="1:16" ht="12.75">
      <c r="A25">
        <v>3</v>
      </c>
      <c r="B25" s="73">
        <v>16.621051896948686</v>
      </c>
      <c r="C25" s="73">
        <v>0.27912640118298004</v>
      </c>
      <c r="D25" s="73">
        <v>0.6836935166994107</v>
      </c>
      <c r="E25" s="73">
        <v>0.7224880663377354</v>
      </c>
      <c r="M25" s="45" t="s">
        <v>100</v>
      </c>
      <c r="N25" s="45">
        <v>0.09331036254063678</v>
      </c>
      <c r="O25" s="45">
        <v>0.48723733381149875</v>
      </c>
      <c r="P25" s="72"/>
    </row>
    <row r="26" spans="1:16" ht="12.75">
      <c r="A26">
        <v>4</v>
      </c>
      <c r="B26" s="73">
        <v>23.70428558496561</v>
      </c>
      <c r="C26" s="73">
        <v>0.2628398836715035</v>
      </c>
      <c r="D26" s="73">
        <v>0.6483300589390963</v>
      </c>
      <c r="E26" s="73">
        <v>0.5895861956060462</v>
      </c>
      <c r="M26" s="45" t="s">
        <v>100</v>
      </c>
      <c r="N26" s="45">
        <v>0.1686029684141709</v>
      </c>
      <c r="O26" s="45">
        <v>0.6229331111707308</v>
      </c>
      <c r="P26" s="72"/>
    </row>
    <row r="27" spans="1:16" ht="12.75">
      <c r="A27">
        <v>5</v>
      </c>
      <c r="B27" s="73">
        <v>29.466839111111245</v>
      </c>
      <c r="C27" s="73">
        <v>0.35354309715938054</v>
      </c>
      <c r="D27" s="73">
        <v>0.5579567779960709</v>
      </c>
      <c r="E27" s="73">
        <v>0.503071083324116</v>
      </c>
      <c r="M27" s="45" t="s">
        <v>100</v>
      </c>
      <c r="N27" s="45">
        <v>0.339612252286819</v>
      </c>
      <c r="O27" s="45">
        <v>0.41453624586549054</v>
      </c>
      <c r="P27" s="72"/>
    </row>
    <row r="28" spans="1:16" ht="12.75">
      <c r="A28">
        <v>6</v>
      </c>
      <c r="B28" s="73">
        <v>41.962439503496064</v>
      </c>
      <c r="C28" s="73">
        <v>0.4832695161855115</v>
      </c>
      <c r="D28" s="73">
        <v>0.6640471512770139</v>
      </c>
      <c r="E28" s="73">
        <v>0.6940216212794957</v>
      </c>
      <c r="M28" s="45" t="s">
        <v>100</v>
      </c>
      <c r="N28" s="45">
        <v>0.5489016695553152</v>
      </c>
      <c r="O28" s="45">
        <v>0.31520724650495635</v>
      </c>
      <c r="P28" s="72"/>
    </row>
    <row r="29" spans="1:16" ht="12.75">
      <c r="A29">
        <v>7</v>
      </c>
      <c r="B29" s="73">
        <v>46.160977191775146</v>
      </c>
      <c r="C29" s="73">
        <v>1.228335919266792</v>
      </c>
      <c r="D29" s="73">
        <v>0.4675834970530452</v>
      </c>
      <c r="E29" s="73">
        <v>0.5322765200995639</v>
      </c>
      <c r="M29" s="45" t="s">
        <v>100</v>
      </c>
      <c r="N29" s="45">
        <v>0.9727648610946114</v>
      </c>
      <c r="O29" s="45">
        <v>0.28322740112994343</v>
      </c>
      <c r="P29" s="72"/>
    </row>
    <row r="30" spans="1:15" ht="12.75">
      <c r="A30">
        <v>8</v>
      </c>
      <c r="B30" s="73">
        <v>68.11988492743275</v>
      </c>
      <c r="C30" s="73">
        <v>1.4620320002948104</v>
      </c>
      <c r="D30" s="73">
        <v>0.7033398821218074</v>
      </c>
      <c r="E30" s="73">
        <v>0.70752997713719</v>
      </c>
      <c r="M30" s="45" t="s">
        <v>100</v>
      </c>
      <c r="N30" s="45">
        <v>1.7424215990657184</v>
      </c>
      <c r="O30" s="45">
        <v>0.19126909874379194</v>
      </c>
    </row>
    <row r="31" spans="1:15" ht="12.75">
      <c r="A31">
        <v>9</v>
      </c>
      <c r="B31" s="73">
        <v>91.94911511886664</v>
      </c>
      <c r="C31" s="73">
        <v>1.5929597145276764</v>
      </c>
      <c r="D31" s="73">
        <v>0.4833005893909627</v>
      </c>
      <c r="E31" s="73">
        <v>0.5883019209160608</v>
      </c>
      <c r="M31" s="45" t="s">
        <v>100</v>
      </c>
      <c r="N31" s="45">
        <v>1.3064830891761958</v>
      </c>
      <c r="O31" s="45">
        <v>0.12310545255025485</v>
      </c>
    </row>
    <row r="32" spans="1:15" ht="12.75">
      <c r="A32">
        <v>10</v>
      </c>
      <c r="B32" s="73">
        <v>103.78166853462268</v>
      </c>
      <c r="C32" s="73">
        <v>1.257512695658633</v>
      </c>
      <c r="D32" s="73">
        <v>0.8487229862475443</v>
      </c>
      <c r="E32" s="73">
        <v>0.7991580391038766</v>
      </c>
      <c r="M32" s="45" t="s">
        <v>100</v>
      </c>
      <c r="N32" s="45">
        <v>2.4818075392302696</v>
      </c>
      <c r="O32" s="45">
        <v>0.1531847943942574</v>
      </c>
    </row>
    <row r="34" ht="12.75">
      <c r="B34" s="69">
        <v>37239</v>
      </c>
    </row>
    <row r="36" spans="1:5" ht="12.75">
      <c r="A36">
        <v>1</v>
      </c>
      <c r="B36" s="70">
        <v>0</v>
      </c>
      <c r="C36" s="70">
        <v>0</v>
      </c>
      <c r="D36" s="70">
        <v>1</v>
      </c>
      <c r="E36" s="70">
        <v>1</v>
      </c>
    </row>
    <row r="37" spans="1:5" ht="12.75">
      <c r="A37">
        <v>2</v>
      </c>
      <c r="B37" s="70">
        <v>0</v>
      </c>
      <c r="C37" s="70">
        <v>0</v>
      </c>
      <c r="D37" s="70"/>
      <c r="E37" s="70"/>
    </row>
    <row r="38" spans="1:5" ht="12.75">
      <c r="A38">
        <v>3</v>
      </c>
      <c r="B38" s="45">
        <v>1.9921615207167929</v>
      </c>
      <c r="C38" s="45">
        <v>0.09331036254063678</v>
      </c>
      <c r="D38" s="45">
        <v>0.8348214285714286</v>
      </c>
      <c r="E38" s="45">
        <v>0.48723733381149875</v>
      </c>
    </row>
    <row r="39" spans="1:5" ht="12.75">
      <c r="A39">
        <v>4</v>
      </c>
      <c r="B39" s="45">
        <v>3.8787525853904516</v>
      </c>
      <c r="C39" s="45">
        <v>0.1686029684141709</v>
      </c>
      <c r="D39" s="45">
        <v>0.7857142857142856</v>
      </c>
      <c r="E39" s="45">
        <v>0.6229331111707308</v>
      </c>
    </row>
    <row r="40" spans="1:5" ht="12.75">
      <c r="A40">
        <v>5</v>
      </c>
      <c r="B40" s="45">
        <v>7.93545051436778</v>
      </c>
      <c r="C40" s="45">
        <v>0.339612252286819</v>
      </c>
      <c r="D40" s="45">
        <v>0.5625</v>
      </c>
      <c r="E40" s="45">
        <v>0.41453624586549054</v>
      </c>
    </row>
    <row r="41" spans="1:5" ht="12.75">
      <c r="A41">
        <v>6</v>
      </c>
      <c r="B41" s="45">
        <v>12.061104044863157</v>
      </c>
      <c r="C41" s="45">
        <v>0.5489016695553152</v>
      </c>
      <c r="D41" s="45">
        <v>0.5714285714285713</v>
      </c>
      <c r="E41" s="45">
        <v>0.31520724650495635</v>
      </c>
    </row>
    <row r="42" spans="1:5" ht="12.75">
      <c r="A42">
        <v>7</v>
      </c>
      <c r="B42" s="45">
        <v>15.741680511014746</v>
      </c>
      <c r="C42" s="45">
        <v>0.9727648610946114</v>
      </c>
      <c r="D42" s="45">
        <v>0.46875</v>
      </c>
      <c r="E42" s="45">
        <v>0.28322740112994343</v>
      </c>
    </row>
    <row r="43" spans="1:5" ht="12.75">
      <c r="A43">
        <v>8</v>
      </c>
      <c r="B43" s="45">
        <v>19.85821594544162</v>
      </c>
      <c r="C43" s="45">
        <v>1.7424215990657184</v>
      </c>
      <c r="D43" s="45">
        <v>0.2915178571428571</v>
      </c>
      <c r="E43" s="45">
        <v>0.19126909874379194</v>
      </c>
    </row>
    <row r="44" spans="1:5" ht="12.75">
      <c r="A44">
        <v>9</v>
      </c>
      <c r="B44" s="45">
        <v>23.30029721130143</v>
      </c>
      <c r="C44" s="45">
        <v>1.3064830891761958</v>
      </c>
      <c r="D44" s="45">
        <v>0.23526785714285708</v>
      </c>
      <c r="E44" s="45">
        <v>0.12310545255025485</v>
      </c>
    </row>
    <row r="45" spans="1:5" ht="12.75">
      <c r="A45">
        <v>10</v>
      </c>
      <c r="B45" s="45">
        <v>30.059085922079134</v>
      </c>
      <c r="C45" s="45">
        <v>2.4818075392302696</v>
      </c>
      <c r="D45" s="45">
        <v>0.23526785714285708</v>
      </c>
      <c r="E45" s="45">
        <v>0.1531847943942574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2001-06-12T19:47:49Z</cp:lastPrinted>
  <dcterms:created xsi:type="dcterms:W3CDTF">2000-10-11T19:44:58Z</dcterms:created>
  <dcterms:modified xsi:type="dcterms:W3CDTF">2001-06-12T20:19:48Z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2.1</vt:lpwstr>
  </property>
</Properties>
</file>