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<sst xmlns="http://schemas.openxmlformats.org/spreadsheetml/2006/main" count="159" uniqueCount="105">
  <si>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</si>
  <si>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</si>
  <si>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</si>
  <si>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</si>
  <si>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</si>
  <si>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</si>
  <si>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</si>
  <si>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</si>
  <si>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</si>
  <si>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</si>
  <si>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</si>
  <si>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</si>
  <si>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</si>
  <si>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</si>
  <si>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</si>
  <si>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</si>
  <si>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</si>
  <si>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</si>
  <si>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</si>
  <si>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</si>
  <si>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</si>
  <si>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</si>
  <si>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</si>
  <si>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</si>
  <si>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</si>
  <si>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</si>
  <si>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</si>
  <si>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</si>
  <si>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</si>
  <si>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</si>
  <si>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</si>
  <si>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</si>
  <si>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</si>
  <si>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</si>
  <si>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</si>
  <si>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</si>
  <si>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</si>
  <si>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</si>
  <si>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</si>
  <si>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</si>
  <si>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</si>
  <si>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</si>
  <si>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</si>
  <si>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</si>
  <si>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</si>
  <si>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</si>
  <si>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</si>
  <si>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</si>
  <si>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</si>
  <si>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</si>
  <si>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</si>
  <si>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</si>
  <si>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</si>
  <si>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</si>
  <si>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</si>
  <si>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</si>
  <si>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</si>
  <si>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</si>
  <si>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</si>
  <si>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</si>
  <si>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</si>
  <si>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</si>
  <si>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</si>
  <si>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</si>
  <si>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</si>
  <si>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</si>
  <si>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</si>
  <si>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</si>
  <si>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</si>
  <si>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</si>
  <si>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</si>
  <si>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</si>
  <si>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</si>
  <si>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</si>
  <si>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</si>
  <si>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</si>
  <si>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</si>
  <si>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</si>
  <si>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</si>
  <si>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</si>
  <si>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</si>
  <si>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</si>
  <si>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</si>
  <si>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</si>
  <si>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</si>
  <si>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</si>
  <si>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</si>
  <si>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</si>
  <si>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</si>
  <si>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</si>
  <si>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None</t>
  </si>
  <si>
    <t>AL-N + AL-H</t>
  </si>
  <si>
    <t>H-3</t>
  </si>
  <si>
    <t>3HTdR</t>
  </si>
  <si>
    <t>11/6/00/ 12:00</t>
  </si>
  <si>
    <t>NEN/3106-398</t>
  </si>
  <si>
    <t>EcoLume</t>
  </si>
  <si>
    <t>7/Plastic vials with cup</t>
  </si>
  <si>
    <t>Beckman LS5000TD</t>
  </si>
  <si>
    <t>11/20/00 / 18:30</t>
  </si>
  <si>
    <t>11/21/00 / 11:30</t>
  </si>
  <si>
    <t>Yes</t>
  </si>
  <si>
    <t>M.Lenarczyk</t>
  </si>
  <si>
    <t>ML- Nov., 20, 2000</t>
  </si>
  <si>
    <t>12/11/00 / 8:59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</si>
</sst>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1027035"/>
        <c:axId val="9243316"/>
      </c:scatterChart>
      <c:valAx>
        <c:axId val="1027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43316"/>
        <c:crossesAt val="0.001"/>
        <c:crossBetween val="midCat"/>
        <c:dispUnits/>
      </c:valAx>
      <c:valAx>
        <c:axId val="924331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7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16080981"/>
        <c:axId val="10511102"/>
      </c:scatterChart>
      <c:valAx>
        <c:axId val="1608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11102"/>
        <c:crosses val="autoZero"/>
        <c:crossBetween val="midCat"/>
        <c:dispUnits/>
      </c:valAx>
      <c:valAx>
        <c:axId val="10511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809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3.9882845784497003</c:v>
                </c:pt>
                <c:pt idx="3">
                  <c:v>6.196557359411016</c:v>
                </c:pt>
                <c:pt idx="4">
                  <c:v>10.1503537017902</c:v>
                </c:pt>
                <c:pt idx="5">
                  <c:v>13.118307876047082</c:v>
                </c:pt>
                <c:pt idx="6">
                  <c:v>17.959225413409907</c:v>
                </c:pt>
                <c:pt idx="7">
                  <c:v>24.931917661639595</c:v>
                </c:pt>
                <c:pt idx="8">
                  <c:v>34.55571677033829</c:v>
                </c:pt>
                <c:pt idx="9">
                  <c:v>27.315751376650088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0.7148900169204739</c:v>
                </c:pt>
                <c:pt idx="3">
                  <c:v>0.5626057529610831</c:v>
                </c:pt>
                <c:pt idx="4">
                  <c:v>0.7614213197969544</c:v>
                </c:pt>
                <c:pt idx="5">
                  <c:v>0.8121827411167513</c:v>
                </c:pt>
                <c:pt idx="6">
                  <c:v>0.4653130287648054</c:v>
                </c:pt>
                <c:pt idx="7">
                  <c:v>0.5647208121827412</c:v>
                </c:pt>
                <c:pt idx="8">
                  <c:v>0.6556683587140439</c:v>
                </c:pt>
                <c:pt idx="9">
                  <c:v>0.7910321489001694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3.9882845784497003</c:v>
                </c:pt>
                <c:pt idx="3">
                  <c:v>6.196557359411016</c:v>
                </c:pt>
                <c:pt idx="4">
                  <c:v>10.1503537017902</c:v>
                </c:pt>
                <c:pt idx="5">
                  <c:v>13.118307876047082</c:v>
                </c:pt>
                <c:pt idx="6">
                  <c:v>17.959225413409907</c:v>
                </c:pt>
                <c:pt idx="7">
                  <c:v>24.931917661639595</c:v>
                </c:pt>
                <c:pt idx="8">
                  <c:v>34.55571677033829</c:v>
                </c:pt>
                <c:pt idx="9">
                  <c:v>27.315751376650088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0.7148900169204738</c:v>
                </c:pt>
                <c:pt idx="3">
                  <c:v>0.562605752961083</c:v>
                </c:pt>
                <c:pt idx="4">
                  <c:v>0.7614213197969544</c:v>
                </c:pt>
                <c:pt idx="5">
                  <c:v>0.8121827411167514</c:v>
                </c:pt>
                <c:pt idx="6">
                  <c:v>0.4653130287648054</c:v>
                </c:pt>
                <c:pt idx="7">
                  <c:v>0.5647208121827412</c:v>
                </c:pt>
                <c:pt idx="8">
                  <c:v>0.6556683587140439</c:v>
                </c:pt>
                <c:pt idx="9">
                  <c:v>0.7910321489001694</c:v>
                </c:pt>
              </c:numCache>
            </c:numRef>
          </c:yVal>
          <c:smooth val="0"/>
        </c:ser>
        <c:axId val="27491055"/>
        <c:axId val="46092904"/>
      </c:scatterChart>
      <c:valAx>
        <c:axId val="2749105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92904"/>
        <c:crossesAt val="0.001"/>
        <c:crossBetween val="midCat"/>
        <c:dispUnits/>
        <c:majorUnit val="10"/>
      </c:valAx>
      <c:valAx>
        <c:axId val="4609290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910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25"/>
          <c:y val="0.6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34.3632006991459</c:v>
                </c:pt>
                <c:pt idx="3">
                  <c:v>63.83593253557746</c:v>
                </c:pt>
                <c:pt idx="4">
                  <c:v>82.38153636200711</c:v>
                </c:pt>
                <c:pt idx="5">
                  <c:v>120.4947138261426</c:v>
                </c:pt>
                <c:pt idx="6">
                  <c:v>157.36027327980173</c:v>
                </c:pt>
                <c:pt idx="7">
                  <c:v>258.7216153060932</c:v>
                </c:pt>
                <c:pt idx="8">
                  <c:v>296.19431656845876</c:v>
                </c:pt>
                <c:pt idx="9">
                  <c:v>308.88047485858874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3.9882845784497003</c:v>
                </c:pt>
                <c:pt idx="3">
                  <c:v>6.196557359411016</c:v>
                </c:pt>
                <c:pt idx="4">
                  <c:v>10.1503537017902</c:v>
                </c:pt>
                <c:pt idx="5">
                  <c:v>13.118307876047082</c:v>
                </c:pt>
                <c:pt idx="6">
                  <c:v>17.959225413409907</c:v>
                </c:pt>
                <c:pt idx="7">
                  <c:v>24.931917661639595</c:v>
                </c:pt>
                <c:pt idx="8">
                  <c:v>34.55571677033829</c:v>
                </c:pt>
                <c:pt idx="9">
                  <c:v>27.315751376650088</c:v>
                </c:pt>
              </c:numCache>
            </c:numRef>
          </c:yVal>
          <c:smooth val="0"/>
        </c:ser>
        <c:axId val="12182953"/>
        <c:axId val="42537714"/>
      </c:scatterChart>
      <c:valAx>
        <c:axId val="1218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537714"/>
        <c:crosses val="autoZero"/>
        <c:crossBetween val="midCat"/>
        <c:dispUnits/>
      </c:valAx>
      <c:valAx>
        <c:axId val="4253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82953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26" sqref="D2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36850</v>
      </c>
    </row>
    <row r="2" ht="12.75">
      <c r="B2" s="62"/>
    </row>
    <row r="3" spans="1:2" ht="12.75">
      <c r="A3" s="24" t="s">
        <v>15</v>
      </c>
      <c r="B3" s="49" t="s">
        <v>103</v>
      </c>
    </row>
    <row r="4" spans="1:3" ht="12.75">
      <c r="A4" s="24" t="s">
        <v>16</v>
      </c>
      <c r="B4" s="50" t="s">
        <v>102</v>
      </c>
      <c r="C4" s="20"/>
    </row>
    <row r="5" spans="1:2" ht="12.75">
      <c r="A5" s="24" t="s">
        <v>17</v>
      </c>
      <c r="B5" s="50" t="s">
        <v>91</v>
      </c>
    </row>
    <row r="6" spans="1:2" ht="12.75">
      <c r="A6" s="24" t="s">
        <v>81</v>
      </c>
      <c r="B6" s="50" t="s">
        <v>90</v>
      </c>
    </row>
    <row r="7" spans="1:2" ht="12.75">
      <c r="A7" s="24" t="s">
        <v>21</v>
      </c>
      <c r="B7" s="50" t="s">
        <v>92</v>
      </c>
    </row>
    <row r="8" spans="1:3" ht="12.75">
      <c r="A8" s="24" t="s">
        <v>22</v>
      </c>
      <c r="B8" s="50">
        <v>450045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93</v>
      </c>
    </row>
    <row r="11" spans="1:2" ht="12.75">
      <c r="A11" s="24" t="s">
        <v>19</v>
      </c>
      <c r="B11" s="50" t="s">
        <v>95</v>
      </c>
    </row>
    <row r="12" spans="1:4" ht="12.75">
      <c r="A12" s="24" t="s">
        <v>27</v>
      </c>
      <c r="B12" s="53" t="s">
        <v>94</v>
      </c>
      <c r="C12" s="20" t="s">
        <v>25</v>
      </c>
      <c r="D12" s="57">
        <v>37.6</v>
      </c>
    </row>
    <row r="13" spans="1:4" ht="12.75">
      <c r="A13" s="24" t="s">
        <v>28</v>
      </c>
      <c r="B13" s="53">
        <v>36850</v>
      </c>
      <c r="C13" s="20" t="s">
        <v>89</v>
      </c>
      <c r="D13" s="58">
        <v>20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37.5988420536271</v>
      </c>
    </row>
    <row r="15" ht="12.75">
      <c r="B15" s="62"/>
    </row>
    <row r="16" spans="1:2" ht="12.75">
      <c r="A16" s="24" t="s">
        <v>35</v>
      </c>
      <c r="B16" s="49" t="s">
        <v>96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97</v>
      </c>
    </row>
    <row r="19" spans="1:2" ht="12.75">
      <c r="A19" s="24" t="s">
        <v>36</v>
      </c>
      <c r="B19" s="50" t="s">
        <v>98</v>
      </c>
    </row>
    <row r="20" spans="1:2" ht="12.75">
      <c r="A20" s="24" t="s">
        <v>37</v>
      </c>
      <c r="B20" s="51">
        <v>0.65</v>
      </c>
    </row>
    <row r="21" ht="12.75">
      <c r="B21" s="62"/>
    </row>
    <row r="22" spans="1:2" ht="12.75">
      <c r="A22" s="24" t="s">
        <v>23</v>
      </c>
      <c r="B22" s="52" t="s">
        <v>99</v>
      </c>
    </row>
    <row r="23" spans="1:4" ht="12.75">
      <c r="A23" s="24" t="s">
        <v>24</v>
      </c>
      <c r="B23" s="53" t="s">
        <v>100</v>
      </c>
      <c r="C23" s="20" t="s">
        <v>29</v>
      </c>
      <c r="D23" s="27">
        <v>17</v>
      </c>
    </row>
    <row r="24" spans="1:4" ht="12.75">
      <c r="A24" s="24" t="s">
        <v>69</v>
      </c>
      <c r="B24" s="53" t="s">
        <v>104</v>
      </c>
      <c r="C24" s="20" t="s">
        <v>30</v>
      </c>
      <c r="D24" s="27">
        <v>495.5</v>
      </c>
    </row>
    <row r="25" spans="1:4" ht="12.75">
      <c r="A25" s="24" t="s">
        <v>70</v>
      </c>
      <c r="B25" s="53" t="s">
        <v>104</v>
      </c>
      <c r="C25" s="20" t="s">
        <v>71</v>
      </c>
      <c r="D25" s="27">
        <v>477.5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2"/>
    </row>
    <row r="29" spans="1:2" ht="12.75">
      <c r="A29" s="24" t="s">
        <v>60</v>
      </c>
      <c r="B29" s="49"/>
    </row>
    <row r="30" spans="1:5" ht="12.75">
      <c r="A30" s="24" t="s">
        <v>61</v>
      </c>
      <c r="B30" s="51"/>
      <c r="E30" s="20" t="s">
        <v>82</v>
      </c>
    </row>
    <row r="31" spans="1:6" ht="12.75">
      <c r="A31" s="24" t="s">
        <v>31</v>
      </c>
      <c r="B31" s="61" t="e">
        <f>AVERAGE(D32:F32)</f>
        <v>#DIV/0!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4"/>
      <c r="E32" s="55"/>
      <c r="F32" s="56"/>
    </row>
    <row r="33" spans="1:2" ht="12.75">
      <c r="A33" s="24" t="s">
        <v>84</v>
      </c>
      <c r="B33" s="65" t="s">
        <v>101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D23" sqref="D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ML- Nov., 20,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36850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13</v>
      </c>
      <c r="C13" s="28">
        <v>10</v>
      </c>
      <c r="D13" s="28">
        <v>7</v>
      </c>
      <c r="E13" s="34">
        <f>AVERAGE(B13:D13,B14:D14)</f>
        <v>10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14</v>
      </c>
      <c r="C14" s="28">
        <v>7</v>
      </c>
      <c r="D14" s="28">
        <v>9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66">
        <v>40388</v>
      </c>
      <c r="C15" s="66">
        <v>39753</v>
      </c>
      <c r="D15" s="66">
        <v>40500</v>
      </c>
      <c r="E15" s="35">
        <f>AVERAGE(B15:D15)</f>
        <v>40213.666666666664</v>
      </c>
      <c r="F15" s="36">
        <f>(E15-E13)</f>
        <v>40203.666666666664</v>
      </c>
      <c r="G15" s="35">
        <f>F15/(Parameters!$B$9*Parameters!$B$20)</f>
        <v>61851.79487179487</v>
      </c>
      <c r="H15" s="37">
        <f>G15/(37000*60*Parameters!$B$26/1000)</f>
        <v>0.9287056287056287</v>
      </c>
      <c r="I15" s="37">
        <f>H15/EXP(-0.693*Parameters!$D$24/(Parameters!$B$8*24))</f>
        <v>0.9287351540309703</v>
      </c>
      <c r="J15" s="37">
        <f>I15*37</f>
        <v>34.3632006991459</v>
      </c>
      <c r="O15" s="2"/>
      <c r="P15" s="9"/>
      <c r="Q15" s="2"/>
      <c r="R15" s="1"/>
    </row>
    <row r="16" spans="1:18" ht="12.75">
      <c r="A16" s="20">
        <v>4</v>
      </c>
      <c r="B16" s="66">
        <v>78847</v>
      </c>
      <c r="C16" s="66">
        <v>70287</v>
      </c>
      <c r="D16" s="66">
        <v>74953</v>
      </c>
      <c r="E16" s="35">
        <f aca="true" t="shared" si="0" ref="E16:E22">AVERAGE(B16:D16)</f>
        <v>74695.66666666667</v>
      </c>
      <c r="F16" s="36">
        <f>E16-E13</f>
        <v>74685.66666666667</v>
      </c>
      <c r="G16" s="35">
        <f>F16/(Parameters!$B$9*Parameters!$B$20)</f>
        <v>114901.02564102564</v>
      </c>
      <c r="H16" s="37">
        <f>G16/(37000*60*Parameters!$B$26/1000)</f>
        <v>1.7252406252406252</v>
      </c>
      <c r="I16" s="37">
        <f>H16/EXP(-0.693*Parameters!$D$24/(Parameters!$B$8*24))</f>
        <v>1.725295473934526</v>
      </c>
      <c r="J16" s="37">
        <f aca="true" t="shared" si="1" ref="J16:J22">I16*37</f>
        <v>63.83593253557746</v>
      </c>
      <c r="O16" s="2"/>
      <c r="P16" s="9"/>
      <c r="Q16" s="2"/>
      <c r="R16" s="1"/>
    </row>
    <row r="17" spans="1:18" ht="12.75">
      <c r="A17" s="20">
        <v>5</v>
      </c>
      <c r="B17" s="66">
        <v>97607</v>
      </c>
      <c r="C17" s="66">
        <v>90780</v>
      </c>
      <c r="D17" s="66">
        <v>100793</v>
      </c>
      <c r="E17" s="35">
        <f t="shared" si="0"/>
        <v>96393.33333333333</v>
      </c>
      <c r="F17" s="36">
        <f>E17-E13</f>
        <v>96383.33333333333</v>
      </c>
      <c r="G17" s="35">
        <f>F17/(Parameters!$B$9*Parameters!$B$20)</f>
        <v>148282.05128205128</v>
      </c>
      <c r="H17" s="37">
        <f>G17/(37000*60*Parameters!$B$26/1000)</f>
        <v>2.2264572264572267</v>
      </c>
      <c r="I17" s="37">
        <f>H17/EXP(-0.693*Parameters!$D$24/(Parameters!$B$8*24))</f>
        <v>2.226528009783976</v>
      </c>
      <c r="J17" s="37">
        <f t="shared" si="1"/>
        <v>82.38153636200711</v>
      </c>
      <c r="O17" s="2"/>
      <c r="P17" s="9"/>
      <c r="Q17" s="2"/>
      <c r="R17" s="1"/>
    </row>
    <row r="18" spans="1:18" ht="12.75">
      <c r="A18" s="20">
        <v>6</v>
      </c>
      <c r="B18" s="66">
        <v>136880</v>
      </c>
      <c r="C18" s="66">
        <v>136200</v>
      </c>
      <c r="D18" s="66">
        <v>149873</v>
      </c>
      <c r="E18" s="35">
        <f t="shared" si="0"/>
        <v>140984.33333333334</v>
      </c>
      <c r="F18" s="36">
        <f>E18-E13</f>
        <v>140974.33333333334</v>
      </c>
      <c r="G18" s="35">
        <f>F18/(Parameters!$B$9*Parameters!$B$20)</f>
        <v>216883.58974358975</v>
      </c>
      <c r="H18" s="37">
        <f>G18/(37000*60*Parameters!$B$26/1000)</f>
        <v>3.256510356510357</v>
      </c>
      <c r="I18" s="37">
        <f>H18/EXP(-0.693*Parameters!$D$24/(Parameters!$B$8*24))</f>
        <v>3.2566138871930432</v>
      </c>
      <c r="J18" s="37">
        <f t="shared" si="1"/>
        <v>120.4947138261426</v>
      </c>
      <c r="O18" s="2"/>
      <c r="P18" s="9"/>
      <c r="Q18" s="2"/>
      <c r="R18" s="1"/>
    </row>
    <row r="19" spans="1:18" ht="12.75">
      <c r="A19" s="20">
        <v>7</v>
      </c>
      <c r="B19" s="66">
        <v>175947</v>
      </c>
      <c r="C19" s="66">
        <v>178153</v>
      </c>
      <c r="D19" s="66">
        <v>198247</v>
      </c>
      <c r="E19" s="35">
        <f t="shared" si="0"/>
        <v>184115.66666666666</v>
      </c>
      <c r="F19" s="36">
        <f>E19-E13</f>
        <v>184105.66666666666</v>
      </c>
      <c r="G19" s="35">
        <f>F19/(Parameters!$B$9*Parameters!$B$20)</f>
        <v>283239.4871794871</v>
      </c>
      <c r="H19" s="37">
        <f>G19/(37000*60*Parameters!$B$26/1000)</f>
        <v>4.252845152845152</v>
      </c>
      <c r="I19" s="37">
        <f>H19/EXP(-0.693*Parameters!$D$24/(Parameters!$B$8*24))</f>
        <v>4.25298035891356</v>
      </c>
      <c r="J19" s="37">
        <f t="shared" si="1"/>
        <v>157.36027327980173</v>
      </c>
      <c r="O19" s="2"/>
      <c r="P19" s="9"/>
      <c r="Q19" s="2"/>
      <c r="R19" s="1"/>
    </row>
    <row r="20" spans="1:18" ht="12.75">
      <c r="A20" s="20">
        <v>8</v>
      </c>
      <c r="B20" s="66">
        <v>284000</v>
      </c>
      <c r="C20" s="66">
        <v>310747</v>
      </c>
      <c r="D20" s="66">
        <v>313367</v>
      </c>
      <c r="E20" s="35">
        <f t="shared" si="0"/>
        <v>302704.6666666667</v>
      </c>
      <c r="F20" s="36">
        <f>E20-E13</f>
        <v>302694.6666666667</v>
      </c>
      <c r="G20" s="35">
        <f>F20/(Parameters!$B$9*Parameters!$B$20)</f>
        <v>465684.10256410256</v>
      </c>
      <c r="H20" s="37">
        <f>G20/(37000*60*Parameters!$B$26/1000)</f>
        <v>6.992253792253792</v>
      </c>
      <c r="I20" s="37">
        <f>H20/EXP(-0.693*Parameters!$D$24/(Parameters!$B$8*24))</f>
        <v>6.992476089353871</v>
      </c>
      <c r="J20" s="37">
        <f t="shared" si="1"/>
        <v>258.7216153060932</v>
      </c>
      <c r="O20" s="2"/>
      <c r="P20" s="9"/>
      <c r="Q20" s="2"/>
      <c r="R20" s="1"/>
    </row>
    <row r="21" spans="1:18" ht="12.75">
      <c r="A21" s="20">
        <v>9</v>
      </c>
      <c r="B21" s="66">
        <v>334080</v>
      </c>
      <c r="C21" s="66">
        <v>358793</v>
      </c>
      <c r="D21" s="66">
        <v>346766</v>
      </c>
      <c r="E21" s="35">
        <f t="shared" si="0"/>
        <v>346546.3333333333</v>
      </c>
      <c r="F21" s="36">
        <f>E21-E13</f>
        <v>346536.3333333333</v>
      </c>
      <c r="G21" s="35">
        <f>F21/(Parameters!$B$9*Parameters!$B$20)</f>
        <v>533132.8205128205</v>
      </c>
      <c r="H21" s="37">
        <f>G21/(37000*60*Parameters!$B$26/1000)</f>
        <v>8.004997304997305</v>
      </c>
      <c r="I21" s="37">
        <f>H21/EXP(-0.693*Parameters!$D$24/(Parameters!$B$8*24))</f>
        <v>8.005251799147533</v>
      </c>
      <c r="J21" s="37">
        <f t="shared" si="1"/>
        <v>296.19431656845876</v>
      </c>
      <c r="O21" s="2"/>
      <c r="P21" s="9"/>
      <c r="Q21" s="2"/>
      <c r="R21" s="1"/>
    </row>
    <row r="22" spans="1:18" ht="12.75">
      <c r="A22" s="20">
        <v>10</v>
      </c>
      <c r="B22" s="66">
        <v>346320</v>
      </c>
      <c r="C22" s="66">
        <v>381566</v>
      </c>
      <c r="D22" s="66">
        <v>356280</v>
      </c>
      <c r="E22" s="35">
        <f t="shared" si="0"/>
        <v>361388.6666666667</v>
      </c>
      <c r="F22" s="36">
        <f>E22-E13</f>
        <v>361378.6666666667</v>
      </c>
      <c r="G22" s="35">
        <f>F22/(Parameters!$B$9*Parameters!$B$20)</f>
        <v>555967.1794871795</v>
      </c>
      <c r="H22" s="37">
        <f>G22/(37000*60*Parameters!$B$26/1000)</f>
        <v>8.347855547855549</v>
      </c>
      <c r="I22" s="37">
        <f>H22/EXP(-0.693*Parameters!$D$24/(Parameters!$B$8*24))</f>
        <v>8.34812094212402</v>
      </c>
      <c r="J22" s="37">
        <f t="shared" si="1"/>
        <v>308.88047485858874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26" sqref="C26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ML- Nov., 20,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36850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8</v>
      </c>
      <c r="C13" s="28">
        <v>6</v>
      </c>
      <c r="D13" s="28">
        <v>11</v>
      </c>
      <c r="E13" s="34">
        <f>AVERAGE(B13:D14)</f>
        <v>10.166666666666666</v>
      </c>
      <c r="F13" s="34">
        <v>0</v>
      </c>
      <c r="G13" s="40">
        <v>0</v>
      </c>
      <c r="H13" s="41">
        <v>0</v>
      </c>
      <c r="I13" s="40">
        <v>0</v>
      </c>
      <c r="J13" s="59">
        <f>I13*37</f>
        <v>0</v>
      </c>
    </row>
    <row r="14" spans="1:10" ht="12.75">
      <c r="A14" s="33">
        <v>2</v>
      </c>
      <c r="B14" s="28">
        <v>8</v>
      </c>
      <c r="C14" s="28">
        <v>15</v>
      </c>
      <c r="D14" s="28">
        <v>13</v>
      </c>
      <c r="E14" s="34"/>
      <c r="F14" s="34">
        <v>0</v>
      </c>
      <c r="G14" s="40">
        <v>0</v>
      </c>
      <c r="H14" s="41">
        <v>0</v>
      </c>
      <c r="I14" s="40">
        <v>0</v>
      </c>
      <c r="J14" s="59">
        <f aca="true" t="shared" si="0" ref="J14:J22">I14*37</f>
        <v>0</v>
      </c>
    </row>
    <row r="15" spans="1:10" ht="12.75">
      <c r="A15" s="20">
        <v>3</v>
      </c>
      <c r="B15" s="66">
        <v>16117</v>
      </c>
      <c r="C15" s="66">
        <v>15171</v>
      </c>
      <c r="D15" s="66">
        <v>15404</v>
      </c>
      <c r="E15" s="35">
        <f aca="true" t="shared" si="1" ref="E15:E22">AVERAGE(B15:D15)</f>
        <v>15564</v>
      </c>
      <c r="F15" s="35">
        <f>E15-$E$13</f>
        <v>15553.833333333334</v>
      </c>
      <c r="G15" s="35">
        <f>F15/(Parameters!$B$9*Parameters!$B$20)</f>
        <v>23928.97435897436</v>
      </c>
      <c r="H15" s="42">
        <f>G15/(37000*60*Parameters!$B$27/1000)</f>
        <v>0.10778817278817279</v>
      </c>
      <c r="I15" s="42">
        <f>H15/EXP(-0.693*(Parameters!$D$25)/(Parameters!$B$8*24))</f>
        <v>0.10779147509323514</v>
      </c>
      <c r="J15" s="37">
        <f t="shared" si="0"/>
        <v>3.9882845784497003</v>
      </c>
    </row>
    <row r="16" spans="1:10" ht="12.75">
      <c r="A16" s="20">
        <v>4</v>
      </c>
      <c r="B16" s="66">
        <v>25210</v>
      </c>
      <c r="C16" s="66">
        <v>23376</v>
      </c>
      <c r="D16" s="66">
        <v>23942</v>
      </c>
      <c r="E16" s="35">
        <f t="shared" si="1"/>
        <v>24176</v>
      </c>
      <c r="F16" s="35">
        <f aca="true" t="shared" si="2" ref="F16:F22">E16-$E$13</f>
        <v>24165.833333333332</v>
      </c>
      <c r="G16" s="35">
        <f>F16/(Parameters!$B$9*Parameters!$B$20)</f>
        <v>37178.205128205125</v>
      </c>
      <c r="H16" s="42">
        <f>G16/(37000*60*Parameters!$B$27/1000)</f>
        <v>0.16746939246939246</v>
      </c>
      <c r="I16" s="42">
        <f>H16/EXP(-0.693*(Parameters!$D$25)/(Parameters!$B$8*24))</f>
        <v>0.16747452322732476</v>
      </c>
      <c r="J16" s="37">
        <f t="shared" si="0"/>
        <v>6.196557359411016</v>
      </c>
    </row>
    <row r="17" spans="1:10" ht="12.75">
      <c r="A17" s="20">
        <v>5</v>
      </c>
      <c r="B17" s="66">
        <v>40428</v>
      </c>
      <c r="C17" s="66">
        <v>40308</v>
      </c>
      <c r="D17" s="66">
        <v>38050</v>
      </c>
      <c r="E17" s="35">
        <f t="shared" si="1"/>
        <v>39595.333333333336</v>
      </c>
      <c r="F17" s="35">
        <f t="shared" si="2"/>
        <v>39585.16666666667</v>
      </c>
      <c r="G17" s="35">
        <f>F17/(Parameters!$B$9*Parameters!$B$20)</f>
        <v>60900.256410256414</v>
      </c>
      <c r="H17" s="42">
        <f>G17/(37000*60*Parameters!$B$27/1000)</f>
        <v>0.27432547932547935</v>
      </c>
      <c r="I17" s="42">
        <f>H17/EXP(-0.693*(Parameters!$D$25)/(Parameters!$B$8*24))</f>
        <v>0.27433388383216756</v>
      </c>
      <c r="J17" s="37">
        <f t="shared" si="0"/>
        <v>10.1503537017902</v>
      </c>
    </row>
    <row r="18" spans="1:10" ht="12.75">
      <c r="A18" s="20">
        <v>6</v>
      </c>
      <c r="B18" s="66">
        <v>52635</v>
      </c>
      <c r="C18" s="66">
        <v>49420</v>
      </c>
      <c r="D18" s="66">
        <v>51455</v>
      </c>
      <c r="E18" s="35">
        <f t="shared" si="1"/>
        <v>51170</v>
      </c>
      <c r="F18" s="35">
        <f t="shared" si="2"/>
        <v>51159.833333333336</v>
      </c>
      <c r="G18" s="35">
        <f>F18/(Parameters!$B$9*Parameters!$B$20)</f>
        <v>78707.4358974359</v>
      </c>
      <c r="H18" s="42">
        <f>G18/(37000*60*Parameters!$B$27/1000)</f>
        <v>0.3545379995379996</v>
      </c>
      <c r="I18" s="42">
        <f>H18/EXP(-0.693*(Parameters!$D$25)/(Parameters!$B$8*24))</f>
        <v>0.354548861514786</v>
      </c>
      <c r="J18" s="37">
        <f t="shared" si="0"/>
        <v>13.118307876047082</v>
      </c>
    </row>
    <row r="19" spans="1:10" ht="12.75">
      <c r="A19" s="20">
        <v>7</v>
      </c>
      <c r="B19" s="66">
        <v>67480</v>
      </c>
      <c r="C19" s="66">
        <v>69100</v>
      </c>
      <c r="D19" s="66">
        <v>73567</v>
      </c>
      <c r="E19" s="35">
        <f t="shared" si="1"/>
        <v>70049</v>
      </c>
      <c r="F19" s="35">
        <f t="shared" si="2"/>
        <v>70038.83333333333</v>
      </c>
      <c r="G19" s="35">
        <f>F19/(Parameters!$B$9*Parameters!$B$20)</f>
        <v>107752.05128205127</v>
      </c>
      <c r="H19" s="42">
        <f>G19/(37000*60*Parameters!$B$27/1000)</f>
        <v>0.4853696003696003</v>
      </c>
      <c r="I19" s="42">
        <f>H19/EXP(-0.693*(Parameters!$D$25)/(Parameters!$B$8*24))</f>
        <v>0.4853844706327002</v>
      </c>
      <c r="J19" s="37">
        <f t="shared" si="0"/>
        <v>17.959225413409907</v>
      </c>
    </row>
    <row r="20" spans="1:10" ht="12.75">
      <c r="A20" s="20">
        <v>8</v>
      </c>
      <c r="B20" s="66">
        <v>99453</v>
      </c>
      <c r="C20" s="66">
        <v>92813</v>
      </c>
      <c r="D20" s="66">
        <v>99459</v>
      </c>
      <c r="E20" s="35">
        <f t="shared" si="1"/>
        <v>97241.66666666667</v>
      </c>
      <c r="F20" s="35">
        <f t="shared" si="2"/>
        <v>97231.5</v>
      </c>
      <c r="G20" s="35">
        <f>F20/(Parameters!$B$9*Parameters!$B$20)</f>
        <v>149586.92307692306</v>
      </c>
      <c r="H20" s="42">
        <f>G20/(37000*60*Parameters!$B$27/1000)</f>
        <v>0.6738149688149687</v>
      </c>
      <c r="I20" s="42">
        <f>H20/EXP(-0.693*(Parameters!$D$25)/(Parameters!$B$8*24))</f>
        <v>0.6738356124767458</v>
      </c>
      <c r="J20" s="37">
        <f t="shared" si="0"/>
        <v>24.931917661639595</v>
      </c>
    </row>
    <row r="21" spans="1:10" ht="12.75">
      <c r="A21" s="20">
        <v>9</v>
      </c>
      <c r="B21" s="66">
        <v>136707</v>
      </c>
      <c r="C21" s="66">
        <v>137633</v>
      </c>
      <c r="D21" s="66">
        <v>129980</v>
      </c>
      <c r="E21" s="35">
        <f t="shared" si="1"/>
        <v>134773.33333333334</v>
      </c>
      <c r="F21" s="35">
        <f t="shared" si="2"/>
        <v>134763.1666666667</v>
      </c>
      <c r="G21" s="35">
        <f>F21/(Parameters!$B$9*Parameters!$B$20)</f>
        <v>207327.94871794875</v>
      </c>
      <c r="H21" s="42">
        <f>G21/(37000*60*Parameters!$B$27/1000)</f>
        <v>0.933909678909679</v>
      </c>
      <c r="I21" s="42">
        <f>H21/EXP(-0.693*(Parameters!$D$25)/(Parameters!$B$8*24))</f>
        <v>0.9339382910902242</v>
      </c>
      <c r="J21" s="37">
        <f t="shared" si="0"/>
        <v>34.55571677033829</v>
      </c>
    </row>
    <row r="22" spans="1:10" ht="12.75">
      <c r="A22" s="20">
        <v>10</v>
      </c>
      <c r="B22" s="66">
        <v>123290</v>
      </c>
      <c r="C22" s="66">
        <v>99959</v>
      </c>
      <c r="D22" s="66">
        <v>96366</v>
      </c>
      <c r="E22" s="35">
        <f t="shared" si="1"/>
        <v>106538.33333333333</v>
      </c>
      <c r="F22" s="35">
        <f t="shared" si="2"/>
        <v>106528.16666666666</v>
      </c>
      <c r="G22" s="35">
        <f>F22/(Parameters!$B$9*Parameters!$B$20)</f>
        <v>163889.48717948716</v>
      </c>
      <c r="H22" s="42">
        <f>G22/(37000*60*Parameters!$B$27/1000)</f>
        <v>0.7382409332409331</v>
      </c>
      <c r="I22" s="42">
        <f>H22/EXP(-0.693*(Parameters!$D$25)/(Parameters!$B$8*24))</f>
        <v>0.7382635507202726</v>
      </c>
      <c r="J22" s="37">
        <f t="shared" si="0"/>
        <v>27.315751376650088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0">
      <selection activeCell="F12" sqref="F12"/>
    </sheetView>
  </sheetViews>
  <sheetFormatPr defaultColWidth="9.140625" defaultRowHeight="12.75"/>
  <cols>
    <col min="1" max="1" width="6.57421875" style="63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3" t="s">
        <v>45</v>
      </c>
      <c r="B3" s="20"/>
      <c r="C3" s="20" t="str">
        <f>Parameters!$B$3</f>
        <v>ML- Nov., 20, 2000</v>
      </c>
      <c r="D3" s="20"/>
      <c r="E3" s="20"/>
      <c r="F3" s="20"/>
    </row>
    <row r="4" spans="1:6" ht="12.75">
      <c r="A4" s="63" t="s">
        <v>12</v>
      </c>
      <c r="B4" s="20"/>
      <c r="C4" s="43">
        <f>Parameters!$B$1</f>
        <v>36850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3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4">
        <v>1</v>
      </c>
      <c r="B13" s="28"/>
      <c r="C13" s="28"/>
      <c r="D13" s="28"/>
      <c r="E13" s="34">
        <f>IF(Parameters!$B$33="Yes",AVERAGE(G13:J13),AVERAGE(B13:D13))</f>
        <v>200</v>
      </c>
      <c r="F13" s="34">
        <f>IF(Parameters!$B$33="Yes",E13*10000,(E13-Parameters!$B$31)*Parameters!$B$32*(100/Parameters!$B$29)*(500/Parameters!$B$30))</f>
        <v>2000000</v>
      </c>
      <c r="G13" s="26">
        <v>200</v>
      </c>
      <c r="H13" s="26">
        <v>200</v>
      </c>
      <c r="I13" s="26">
        <v>200</v>
      </c>
      <c r="J13" s="26">
        <v>200</v>
      </c>
    </row>
    <row r="14" spans="1:10" ht="12.75">
      <c r="A14" s="64">
        <v>2</v>
      </c>
      <c r="B14" s="28"/>
      <c r="C14" s="28"/>
      <c r="D14" s="28"/>
      <c r="E14" s="34">
        <f>IF(Parameters!$B$33="Yes",AVERAGE(G14:J14),AVERAGE(B14:D14))</f>
        <v>200</v>
      </c>
      <c r="F14" s="34">
        <f>IF(Parameters!$B$33="Yes",E14*10000,(E14-Parameters!$B$31)*Parameters!$B$32*(100/Parameters!$B$29)*(500/Parameters!$B$30))</f>
        <v>2000000</v>
      </c>
      <c r="G14" s="26">
        <v>200</v>
      </c>
      <c r="H14" s="26">
        <v>200</v>
      </c>
      <c r="I14" s="26">
        <v>200</v>
      </c>
      <c r="J14" s="26">
        <v>200</v>
      </c>
    </row>
    <row r="15" spans="1:10" ht="12.75">
      <c r="A15" s="63">
        <v>3</v>
      </c>
      <c r="B15" s="29"/>
      <c r="C15" s="29"/>
      <c r="D15" s="29"/>
      <c r="E15" s="35">
        <f>IF(Parameters!$B$33="Yes",AVERAGE(G15:J15),AVERAGE(B15:D15))</f>
        <v>200</v>
      </c>
      <c r="F15" s="35">
        <f>IF(Parameters!$B$33="Yes",E15*10000,(E15-Parameters!$B$31)*Parameters!$B$32*(100/Parameters!$B$29)*(500/Parameters!$B$30))</f>
        <v>2000000</v>
      </c>
      <c r="G15" s="26">
        <v>200</v>
      </c>
      <c r="H15" s="26">
        <v>200</v>
      </c>
      <c r="I15" s="26">
        <v>200</v>
      </c>
      <c r="J15" s="26">
        <v>200</v>
      </c>
    </row>
    <row r="16" spans="1:10" ht="12.75">
      <c r="A16" s="63">
        <v>4</v>
      </c>
      <c r="B16" s="29"/>
      <c r="C16" s="29"/>
      <c r="D16" s="29"/>
      <c r="E16" s="35">
        <f>IF(Parameters!$B$33="Yes",AVERAGE(G16:J16),AVERAGE(B16:D16))</f>
        <v>200</v>
      </c>
      <c r="F16" s="35">
        <f>IF(Parameters!$B$33="Yes",E16*10000,(E16-Parameters!$B$31)*Parameters!$B$32*(100/Parameters!$B$29)*(500/Parameters!$B$30))</f>
        <v>2000000</v>
      </c>
      <c r="G16" s="26">
        <v>200</v>
      </c>
      <c r="H16" s="26">
        <v>200</v>
      </c>
      <c r="I16" s="26">
        <v>200</v>
      </c>
      <c r="J16" s="26">
        <v>200</v>
      </c>
    </row>
    <row r="17" spans="1:10" ht="12.75">
      <c r="A17" s="63">
        <v>5</v>
      </c>
      <c r="B17" s="29"/>
      <c r="C17" s="29"/>
      <c r="D17" s="29"/>
      <c r="E17" s="35">
        <f>IF(Parameters!$B$33="Yes",AVERAGE(G17:J17),AVERAGE(B17:D17))</f>
        <v>200</v>
      </c>
      <c r="F17" s="35">
        <f>IF(Parameters!$B$33="Yes",E17*10000,(E17-Parameters!$B$31)*Parameters!$B$32*(100/Parameters!$B$29)*(500/Parameters!$B$30))</f>
        <v>2000000</v>
      </c>
      <c r="G17" s="26">
        <v>200</v>
      </c>
      <c r="H17" s="26">
        <v>200</v>
      </c>
      <c r="I17" s="26">
        <v>200</v>
      </c>
      <c r="J17" s="26">
        <v>200</v>
      </c>
    </row>
    <row r="18" spans="1:10" ht="12.75">
      <c r="A18" s="63">
        <v>6</v>
      </c>
      <c r="B18" s="29"/>
      <c r="C18" s="29"/>
      <c r="D18" s="29"/>
      <c r="E18" s="35">
        <f>IF(Parameters!$B$33="Yes",AVERAGE(G18:J18),AVERAGE(B18:D18))</f>
        <v>200</v>
      </c>
      <c r="F18" s="35">
        <f>IF(Parameters!$B$33="Yes",E18*10000,(E18-Parameters!$B$31)*Parameters!$B$32*(100/Parameters!$B$29)*(500/Parameters!$B$30))</f>
        <v>2000000</v>
      </c>
      <c r="G18" s="26">
        <v>200</v>
      </c>
      <c r="H18" s="26">
        <v>200</v>
      </c>
      <c r="I18" s="26">
        <v>200</v>
      </c>
      <c r="J18" s="26">
        <v>200</v>
      </c>
    </row>
    <row r="19" spans="1:10" ht="12.75">
      <c r="A19" s="63">
        <v>7</v>
      </c>
      <c r="B19" s="29"/>
      <c r="C19" s="29"/>
      <c r="D19" s="29"/>
      <c r="E19" s="35">
        <f>IF(Parameters!$B$33="Yes",AVERAGE(G19:J19),AVERAGE(B19:D19))</f>
        <v>200</v>
      </c>
      <c r="F19" s="35">
        <f>IF(Parameters!$B$33="Yes",E19*10000,(E19-Parameters!$B$31)*Parameters!$B$32*(100/Parameters!$B$29)*(500/Parameters!$B$30))</f>
        <v>2000000</v>
      </c>
      <c r="G19" s="26">
        <v>200</v>
      </c>
      <c r="H19" s="26">
        <v>200</v>
      </c>
      <c r="I19" s="26">
        <v>200</v>
      </c>
      <c r="J19" s="26">
        <v>200</v>
      </c>
    </row>
    <row r="20" spans="1:10" ht="12.75">
      <c r="A20" s="63">
        <v>8</v>
      </c>
      <c r="B20" s="29"/>
      <c r="C20" s="29"/>
      <c r="D20" s="29"/>
      <c r="E20" s="35">
        <f>IF(Parameters!$B$33="Yes",AVERAGE(G20:J20),AVERAGE(B20:D20))</f>
        <v>200</v>
      </c>
      <c r="F20" s="35">
        <f>IF(Parameters!$B$33="Yes",E20*10000,(E20-Parameters!$B$31)*Parameters!$B$32*(100/Parameters!$B$29)*(500/Parameters!$B$30))</f>
        <v>2000000</v>
      </c>
      <c r="G20" s="26">
        <v>200</v>
      </c>
      <c r="H20" s="26">
        <v>200</v>
      </c>
      <c r="I20" s="26">
        <v>200</v>
      </c>
      <c r="J20" s="26">
        <v>200</v>
      </c>
    </row>
    <row r="21" spans="1:10" ht="12.75">
      <c r="A21" s="63">
        <v>9</v>
      </c>
      <c r="B21" s="29"/>
      <c r="C21" s="29"/>
      <c r="D21" s="29"/>
      <c r="E21" s="35">
        <f>IF(Parameters!$B$33="Yes",AVERAGE(G21:J21),AVERAGE(B21:D21))</f>
        <v>200</v>
      </c>
      <c r="F21" s="35">
        <f>IF(Parameters!$B$33="Yes",E21*10000,(E21-Parameters!$B$31)*Parameters!$B$32*(100/Parameters!$B$29)*(500/Parameters!$B$30))</f>
        <v>2000000</v>
      </c>
      <c r="G21" s="26">
        <v>200</v>
      </c>
      <c r="H21" s="26">
        <v>200</v>
      </c>
      <c r="I21" s="26">
        <v>200</v>
      </c>
      <c r="J21" s="26">
        <v>200</v>
      </c>
    </row>
    <row r="22" spans="1:10" ht="12.75">
      <c r="A22" s="63">
        <v>10</v>
      </c>
      <c r="B22" s="29"/>
      <c r="C22" s="29"/>
      <c r="D22" s="29"/>
      <c r="E22" s="35">
        <f>IF(Parameters!$B$33="Yes",AVERAGE(G22:J22),AVERAGE(B22:D22))</f>
        <v>200</v>
      </c>
      <c r="F22" s="35">
        <f>IF(Parameters!$B$33="Yes",E22*10000,(E22-Parameters!$B$31)*Parameters!$B$32*(100/Parameters!$B$29)*(500/Parameters!$B$30))</f>
        <v>2000000</v>
      </c>
      <c r="G22" s="26">
        <v>200</v>
      </c>
      <c r="H22" s="26">
        <v>200</v>
      </c>
      <c r="I22" s="26">
        <v>200</v>
      </c>
      <c r="J22" s="26">
        <v>200</v>
      </c>
    </row>
    <row r="29" spans="1:10" ht="12.75">
      <c r="A29" s="63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4">
        <v>1</v>
      </c>
      <c r="B35" s="26">
        <v>200</v>
      </c>
      <c r="C35" s="34">
        <f>F13/(10000*200/B35)</f>
        <v>200</v>
      </c>
      <c r="D35" s="28">
        <v>68</v>
      </c>
      <c r="E35" s="28">
        <v>87</v>
      </c>
      <c r="F35" s="28">
        <v>67</v>
      </c>
      <c r="G35" s="34">
        <f>AVERAGE(D35:F36)</f>
        <v>78.8</v>
      </c>
      <c r="H35" s="44">
        <f>G35/C35*100</f>
        <v>39.4</v>
      </c>
      <c r="I35" s="60">
        <f>G35*200/B35/$G$35</f>
        <v>1</v>
      </c>
      <c r="J35" s="59">
        <f>(G35/AVERAGE(C35:C36))/($G$35/AVERAGE($C$35,$C$36))</f>
        <v>1</v>
      </c>
    </row>
    <row r="36" spans="1:10" ht="12.75">
      <c r="A36" s="64">
        <v>2</v>
      </c>
      <c r="B36" s="26">
        <v>200</v>
      </c>
      <c r="C36" s="34">
        <f aca="true" t="shared" si="0" ref="C36:C44">F14/(10000*200/B36)</f>
        <v>200</v>
      </c>
      <c r="D36" s="28">
        <v>85</v>
      </c>
      <c r="E36" s="28">
        <v>87</v>
      </c>
      <c r="F36" s="28"/>
      <c r="G36" s="34"/>
      <c r="H36" s="44"/>
      <c r="I36" s="45"/>
      <c r="J36" s="37"/>
    </row>
    <row r="37" spans="1:10" ht="12.75">
      <c r="A37" s="63">
        <v>3</v>
      </c>
      <c r="B37" s="26">
        <v>200</v>
      </c>
      <c r="C37" s="35">
        <f t="shared" si="0"/>
        <v>200</v>
      </c>
      <c r="D37" s="26">
        <v>58</v>
      </c>
      <c r="E37" s="26">
        <v>66</v>
      </c>
      <c r="F37" s="26">
        <v>45</v>
      </c>
      <c r="G37" s="35">
        <f aca="true" t="shared" si="1" ref="G37:G44">AVERAGE(D37:F37)</f>
        <v>56.333333333333336</v>
      </c>
      <c r="H37" s="46">
        <f aca="true" t="shared" si="2" ref="H37:H44">G37/C37*100</f>
        <v>28.166666666666668</v>
      </c>
      <c r="I37" s="37">
        <f aca="true" t="shared" si="3" ref="I37:I44">G37*200/B37/$G$35</f>
        <v>0.7148900169204739</v>
      </c>
      <c r="J37" s="37">
        <f>(G37/C37)/($G$35/AVERAGE($C$35,$C$36))</f>
        <v>0.7148900169204738</v>
      </c>
    </row>
    <row r="38" spans="1:10" ht="12.75">
      <c r="A38" s="63">
        <v>4</v>
      </c>
      <c r="B38" s="26">
        <v>200</v>
      </c>
      <c r="C38" s="35">
        <f t="shared" si="0"/>
        <v>200</v>
      </c>
      <c r="D38" s="66">
        <v>41</v>
      </c>
      <c r="E38" s="66">
        <v>50</v>
      </c>
      <c r="F38" s="66">
        <v>42</v>
      </c>
      <c r="G38" s="35">
        <f t="shared" si="1"/>
        <v>44.333333333333336</v>
      </c>
      <c r="H38" s="46">
        <f t="shared" si="2"/>
        <v>22.166666666666668</v>
      </c>
      <c r="I38" s="37">
        <f t="shared" si="3"/>
        <v>0.5626057529610831</v>
      </c>
      <c r="J38" s="37">
        <f aca="true" t="shared" si="4" ref="J38:J44">(G38/C38)/($G$35/AVERAGE($C$35,$C$36))</f>
        <v>0.562605752961083</v>
      </c>
    </row>
    <row r="39" spans="1:10" ht="12.75">
      <c r="A39" s="63">
        <v>5</v>
      </c>
      <c r="B39" s="26">
        <v>200</v>
      </c>
      <c r="C39" s="35">
        <f t="shared" si="0"/>
        <v>200</v>
      </c>
      <c r="D39" s="66">
        <v>55</v>
      </c>
      <c r="E39" s="66">
        <v>61</v>
      </c>
      <c r="F39" s="66">
        <v>64</v>
      </c>
      <c r="G39" s="35">
        <f t="shared" si="1"/>
        <v>60</v>
      </c>
      <c r="H39" s="46">
        <f t="shared" si="2"/>
        <v>30</v>
      </c>
      <c r="I39" s="37">
        <f t="shared" si="3"/>
        <v>0.7614213197969544</v>
      </c>
      <c r="J39" s="37">
        <f t="shared" si="4"/>
        <v>0.7614213197969544</v>
      </c>
    </row>
    <row r="40" spans="1:10" ht="12.75">
      <c r="A40" s="63">
        <v>6</v>
      </c>
      <c r="B40" s="26">
        <v>200</v>
      </c>
      <c r="C40" s="35">
        <f t="shared" si="0"/>
        <v>200</v>
      </c>
      <c r="D40" s="66">
        <v>59</v>
      </c>
      <c r="E40" s="66">
        <v>73</v>
      </c>
      <c r="F40" s="66">
        <v>60</v>
      </c>
      <c r="G40" s="35">
        <f t="shared" si="1"/>
        <v>64</v>
      </c>
      <c r="H40" s="46">
        <f t="shared" si="2"/>
        <v>32</v>
      </c>
      <c r="I40" s="37">
        <f t="shared" si="3"/>
        <v>0.8121827411167513</v>
      </c>
      <c r="J40" s="37">
        <f t="shared" si="4"/>
        <v>0.8121827411167514</v>
      </c>
    </row>
    <row r="41" spans="1:10" ht="12.75">
      <c r="A41" s="63">
        <v>7</v>
      </c>
      <c r="B41" s="26">
        <v>200</v>
      </c>
      <c r="C41" s="35">
        <f t="shared" si="0"/>
        <v>200</v>
      </c>
      <c r="D41" s="66">
        <v>30</v>
      </c>
      <c r="E41" s="66">
        <v>40</v>
      </c>
      <c r="F41" s="66">
        <v>40</v>
      </c>
      <c r="G41" s="35">
        <f t="shared" si="1"/>
        <v>36.666666666666664</v>
      </c>
      <c r="H41" s="46">
        <f t="shared" si="2"/>
        <v>18.333333333333332</v>
      </c>
      <c r="I41" s="37">
        <f t="shared" si="3"/>
        <v>0.4653130287648054</v>
      </c>
      <c r="J41" s="37">
        <f t="shared" si="4"/>
        <v>0.4653130287648054</v>
      </c>
    </row>
    <row r="42" spans="1:10" ht="12.75">
      <c r="A42" s="63">
        <v>8</v>
      </c>
      <c r="B42" s="26">
        <v>200</v>
      </c>
      <c r="C42" s="35">
        <f t="shared" si="0"/>
        <v>200</v>
      </c>
      <c r="D42" s="66">
        <v>55</v>
      </c>
      <c r="E42" s="66">
        <v>34</v>
      </c>
      <c r="F42" s="66"/>
      <c r="G42" s="35">
        <f t="shared" si="1"/>
        <v>44.5</v>
      </c>
      <c r="H42" s="46">
        <f t="shared" si="2"/>
        <v>22.25</v>
      </c>
      <c r="I42" s="37">
        <f t="shared" si="3"/>
        <v>0.5647208121827412</v>
      </c>
      <c r="J42" s="37">
        <f t="shared" si="4"/>
        <v>0.5647208121827412</v>
      </c>
    </row>
    <row r="43" spans="1:10" ht="12.75">
      <c r="A43" s="63">
        <v>9</v>
      </c>
      <c r="B43" s="26">
        <v>200</v>
      </c>
      <c r="C43" s="35">
        <f t="shared" si="0"/>
        <v>200</v>
      </c>
      <c r="D43" s="66">
        <v>50</v>
      </c>
      <c r="E43" s="66">
        <v>44</v>
      </c>
      <c r="F43" s="66">
        <v>61</v>
      </c>
      <c r="G43" s="35">
        <f t="shared" si="1"/>
        <v>51.666666666666664</v>
      </c>
      <c r="H43" s="46">
        <f t="shared" si="2"/>
        <v>25.83333333333333</v>
      </c>
      <c r="I43" s="37">
        <f t="shared" si="3"/>
        <v>0.6556683587140439</v>
      </c>
      <c r="J43" s="37">
        <f t="shared" si="4"/>
        <v>0.6556683587140439</v>
      </c>
    </row>
    <row r="44" spans="1:10" ht="12.75">
      <c r="A44" s="63">
        <v>10</v>
      </c>
      <c r="B44" s="26">
        <v>200</v>
      </c>
      <c r="C44" s="35">
        <f t="shared" si="0"/>
        <v>200</v>
      </c>
      <c r="D44" s="66">
        <v>64</v>
      </c>
      <c r="E44" s="66">
        <v>65</v>
      </c>
      <c r="F44" s="66">
        <v>58</v>
      </c>
      <c r="G44" s="35">
        <f t="shared" si="1"/>
        <v>62.333333333333336</v>
      </c>
      <c r="H44" s="46">
        <f t="shared" si="2"/>
        <v>31.16666666666667</v>
      </c>
      <c r="I44" s="37">
        <f t="shared" si="3"/>
        <v>0.7910321489001694</v>
      </c>
      <c r="J44" s="37">
        <f t="shared" si="4"/>
        <v>0.7910321489001694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D12">
      <selection activeCell="F27" sqref="F27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1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34.3632006991459</v>
      </c>
      <c r="C15" s="46">
        <f>CellSuspension!J15/(CoulterSurvival!F15*Parameters!$B$14)*1000000</f>
        <v>3.9882845784497003</v>
      </c>
      <c r="D15" s="37">
        <f>CoulterSurvival!I37</f>
        <v>0.7148900169204739</v>
      </c>
      <c r="E15" s="37">
        <f>CoulterSurvival!J37</f>
        <v>0.7148900169204738</v>
      </c>
    </row>
    <row r="16" spans="1:5" ht="12.75">
      <c r="A16" s="20">
        <v>4</v>
      </c>
      <c r="B16" s="46">
        <f>MediumActivity!J16</f>
        <v>63.83593253557746</v>
      </c>
      <c r="C16" s="46">
        <f>CellSuspension!J16/(CoulterSurvival!F16*Parameters!$B$14)*1000000</f>
        <v>6.196557359411016</v>
      </c>
      <c r="D16" s="37">
        <f>CoulterSurvival!I38</f>
        <v>0.5626057529610831</v>
      </c>
      <c r="E16" s="37">
        <f>CoulterSurvival!J38</f>
        <v>0.562605752961083</v>
      </c>
    </row>
    <row r="17" spans="1:5" ht="12.75">
      <c r="A17" s="20">
        <v>5</v>
      </c>
      <c r="B17" s="46">
        <f>MediumActivity!J17</f>
        <v>82.38153636200711</v>
      </c>
      <c r="C17" s="46">
        <f>CellSuspension!J17/(CoulterSurvival!F17*Parameters!$B$14)*1000000</f>
        <v>10.1503537017902</v>
      </c>
      <c r="D17" s="37">
        <f>CoulterSurvival!I39</f>
        <v>0.7614213197969544</v>
      </c>
      <c r="E17" s="37">
        <f>CoulterSurvival!J39</f>
        <v>0.7614213197969544</v>
      </c>
    </row>
    <row r="18" spans="1:5" ht="12.75">
      <c r="A18" s="20">
        <v>6</v>
      </c>
      <c r="B18" s="46">
        <f>MediumActivity!J18</f>
        <v>120.4947138261426</v>
      </c>
      <c r="C18" s="46">
        <f>CellSuspension!J18/(CoulterSurvival!F18*Parameters!$B$14)*1000000</f>
        <v>13.118307876047082</v>
      </c>
      <c r="D18" s="37">
        <f>CoulterSurvival!I40</f>
        <v>0.8121827411167513</v>
      </c>
      <c r="E18" s="37">
        <f>CoulterSurvival!J40</f>
        <v>0.8121827411167514</v>
      </c>
    </row>
    <row r="19" spans="1:5" ht="12.75">
      <c r="A19" s="20">
        <v>7</v>
      </c>
      <c r="B19" s="46">
        <f>MediumActivity!J19</f>
        <v>157.36027327980173</v>
      </c>
      <c r="C19" s="46">
        <f>CellSuspension!J19/(CoulterSurvival!F19*Parameters!$B$14)*1000000</f>
        <v>17.959225413409907</v>
      </c>
      <c r="D19" s="37">
        <f>CoulterSurvival!I41</f>
        <v>0.4653130287648054</v>
      </c>
      <c r="E19" s="37">
        <f>CoulterSurvival!J41</f>
        <v>0.4653130287648054</v>
      </c>
    </row>
    <row r="20" spans="1:5" ht="12.75">
      <c r="A20" s="20">
        <v>8</v>
      </c>
      <c r="B20" s="46">
        <f>MediumActivity!J20</f>
        <v>258.7216153060932</v>
      </c>
      <c r="C20" s="46">
        <f>CellSuspension!J20/(CoulterSurvival!F20*Parameters!$B$14)*1000000</f>
        <v>24.931917661639595</v>
      </c>
      <c r="D20" s="37">
        <f>CoulterSurvival!I42</f>
        <v>0.5647208121827412</v>
      </c>
      <c r="E20" s="37">
        <f>CoulterSurvival!J42</f>
        <v>0.5647208121827412</v>
      </c>
    </row>
    <row r="21" spans="1:5" ht="12.75">
      <c r="A21" s="20">
        <v>9</v>
      </c>
      <c r="B21" s="46">
        <f>MediumActivity!J21</f>
        <v>296.19431656845876</v>
      </c>
      <c r="C21" s="46">
        <f>CellSuspension!J21/(CoulterSurvival!F21*Parameters!$B$14)*1000000</f>
        <v>34.55571677033829</v>
      </c>
      <c r="D21" s="37">
        <f>CoulterSurvival!I43</f>
        <v>0.6556683587140439</v>
      </c>
      <c r="E21" s="37">
        <f>CoulterSurvival!J43</f>
        <v>0.6556683587140439</v>
      </c>
    </row>
    <row r="22" spans="1:5" ht="12.75">
      <c r="A22" s="20">
        <v>10</v>
      </c>
      <c r="B22" s="46">
        <f>MediumActivity!J22</f>
        <v>308.88047485858874</v>
      </c>
      <c r="C22" s="46">
        <f>CellSuspension!J22/(CoulterSurvival!F22*Parameters!$B$14)*1000000</f>
        <v>27.315751376650088</v>
      </c>
      <c r="D22" s="37">
        <f>CoulterSurvival!I44</f>
        <v>0.7910321489001694</v>
      </c>
      <c r="E22" s="37">
        <f>CoulterSurvival!J44</f>
        <v>0.7910321489001694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1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34.3632006991459</v>
      </c>
      <c r="C15" s="46">
        <f>CellSuspension!J15/(CoulterSurvival!F15*Parameters!$B$14)*1000000</f>
        <v>3.9882845784497003</v>
      </c>
      <c r="D15" s="37">
        <f>CoulterSurvival!I37</f>
        <v>0.7148900169204739</v>
      </c>
      <c r="E15" s="37">
        <f>CoulterSurvival!J37</f>
        <v>0.7148900169204738</v>
      </c>
    </row>
    <row r="16" spans="1:5" ht="12.75">
      <c r="A16" s="20">
        <v>4</v>
      </c>
      <c r="B16" s="46">
        <f>MediumActivity!J16</f>
        <v>63.83593253557746</v>
      </c>
      <c r="C16" s="46">
        <f>CellSuspension!J16/(CoulterSurvival!F16*Parameters!$B$14)*1000000</f>
        <v>6.196557359411016</v>
      </c>
      <c r="D16" s="37">
        <f>CoulterSurvival!I38</f>
        <v>0.5626057529610831</v>
      </c>
      <c r="E16" s="37">
        <f>CoulterSurvival!J38</f>
        <v>0.562605752961083</v>
      </c>
    </row>
    <row r="17" spans="1:5" ht="12.75">
      <c r="A17" s="20">
        <v>5</v>
      </c>
      <c r="B17" s="46">
        <f>MediumActivity!J17</f>
        <v>82.38153636200711</v>
      </c>
      <c r="C17" s="46">
        <f>CellSuspension!J17/(CoulterSurvival!F17*Parameters!$B$14)*1000000</f>
        <v>10.1503537017902</v>
      </c>
      <c r="D17" s="37">
        <f>CoulterSurvival!I39</f>
        <v>0.7614213197969544</v>
      </c>
      <c r="E17" s="37">
        <f>CoulterSurvival!J39</f>
        <v>0.7614213197969544</v>
      </c>
    </row>
    <row r="18" spans="1:5" ht="12.75">
      <c r="A18" s="20">
        <v>6</v>
      </c>
      <c r="B18" s="46">
        <f>MediumActivity!J18</f>
        <v>120.4947138261426</v>
      </c>
      <c r="C18" s="46">
        <f>CellSuspension!J18/(CoulterSurvival!F18*Parameters!$B$14)*1000000</f>
        <v>13.118307876047082</v>
      </c>
      <c r="D18" s="37">
        <f>CoulterSurvival!I40</f>
        <v>0.8121827411167513</v>
      </c>
      <c r="E18" s="37">
        <f>CoulterSurvival!J40</f>
        <v>0.8121827411167514</v>
      </c>
    </row>
    <row r="19" spans="1:5" ht="12.75">
      <c r="A19" s="20">
        <v>7</v>
      </c>
      <c r="B19" s="46">
        <f>MediumActivity!J19</f>
        <v>157.36027327980173</v>
      </c>
      <c r="C19" s="46">
        <f>CellSuspension!J19/(CoulterSurvival!F19*Parameters!$B$14)*1000000</f>
        <v>17.959225413409907</v>
      </c>
      <c r="D19" s="37">
        <f>CoulterSurvival!I41</f>
        <v>0.4653130287648054</v>
      </c>
      <c r="E19" s="37">
        <f>CoulterSurvival!J41</f>
        <v>0.4653130287648054</v>
      </c>
    </row>
    <row r="20" spans="1:5" ht="12.75">
      <c r="A20" s="20">
        <v>8</v>
      </c>
      <c r="B20" s="46">
        <f>MediumActivity!J20</f>
        <v>258.7216153060932</v>
      </c>
      <c r="C20" s="46">
        <f>CellSuspension!J20/(CoulterSurvival!F20*Parameters!$B$14)*1000000</f>
        <v>24.931917661639595</v>
      </c>
      <c r="D20" s="37">
        <f>CoulterSurvival!I42</f>
        <v>0.5647208121827412</v>
      </c>
      <c r="E20" s="37">
        <f>CoulterSurvival!J42</f>
        <v>0.5647208121827412</v>
      </c>
    </row>
    <row r="21" spans="1:5" ht="12.75">
      <c r="A21" s="20">
        <v>9</v>
      </c>
      <c r="B21" s="46">
        <f>MediumActivity!J21</f>
        <v>296.19431656845876</v>
      </c>
      <c r="C21" s="46">
        <f>CellSuspension!J21/(CoulterSurvival!F21*Parameters!$B$14)*1000000</f>
        <v>34.55571677033829</v>
      </c>
      <c r="D21" s="37">
        <f>CoulterSurvival!I43</f>
        <v>0.6556683587140439</v>
      </c>
      <c r="E21" s="37">
        <f>CoulterSurvival!J43</f>
        <v>0.6556683587140439</v>
      </c>
    </row>
    <row r="22" spans="1:5" ht="12.75">
      <c r="A22" s="20">
        <v>10</v>
      </c>
      <c r="B22" s="46">
        <f>MediumActivity!J22</f>
        <v>308.88047485858874</v>
      </c>
      <c r="C22" s="46">
        <f>CellSuspension!J22/(CoulterSurvival!F22*Parameters!$B$14)*1000000</f>
        <v>27.315751376650088</v>
      </c>
      <c r="D22" s="37">
        <f>CoulterSurvival!I44</f>
        <v>0.7910321489001694</v>
      </c>
      <c r="E22" s="37">
        <f>CoulterSurvival!J44</f>
        <v>0.7910321489001694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2000-12-12T23:57:50Z</cp:lastPrinted>
  <dcterms:created xsi:type="dcterms:W3CDTF">2000-10-11T19:44:58Z</dcterms:created>
  <dcterms:modified xsi:type="dcterms:W3CDTF">2000-12-22T21:28:06Z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