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1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<sst xmlns="http://schemas.openxmlformats.org/spreadsheetml/2006/main" count="154" uniqueCount="101">
  <si>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</si>
  <si>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</si>
  <si>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</si>
  <si>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</si>
  <si>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</si>
  <si>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</si>
  <si>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</si>
  <si>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</si>
  <si>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</si>
  <si>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</si>
  <si>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</si>
  <si>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</si>
  <si>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</si>
  <si>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</si>
  <si>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</si>
  <si>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</si>
  <si>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</si>
  <si>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</si>
  <si>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</si>
  <si>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</si>
  <si>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</si>
  <si>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</si>
  <si>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</si>
  <si>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</si>
  <si>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</si>
  <si>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</si>
  <si>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</si>
  <si>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</si>
  <si>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</si>
  <si>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</si>
  <si>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</si>
  <si>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</si>
  <si>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</si>
  <si>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</si>
  <si>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</si>
  <si>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</si>
  <si>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</si>
  <si>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</si>
  <si>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</si>
  <si>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</si>
  <si>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</si>
  <si>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</si>
  <si>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</si>
  <si>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</si>
  <si>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</si>
  <si>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</si>
  <si>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</si>
  <si>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</si>
  <si>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</si>
  <si>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</si>
  <si>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</si>
  <si>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</si>
  <si>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</si>
  <si>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</si>
  <si>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</si>
  <si>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</si>
  <si>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</si>
  <si>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</si>
  <si>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</si>
  <si>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</si>
  <si>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</si>
  <si>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</si>
  <si>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</si>
  <si>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</si>
  <si>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</si>
  <si>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</si>
  <si>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</si>
  <si>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</si>
  <si>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</si>
  <si>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</si>
  <si>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</si>
  <si>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</si>
  <si>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</si>
  <si>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</si>
  <si>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</si>
  <si>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</si>
  <si>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</si>
  <si>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</si>
  <si>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</si>
  <si>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</si>
  <si>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</si>
  <si>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</si>
  <si>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</si>
  <si>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</si>
  <si>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</si>
  <si>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</si>
  <si>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</si>
  <si>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</si>
  <si>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</si>
  <si>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</si>
  <si>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ML Nov.,28 , 2000</t>
  </si>
  <si>
    <t>ML</t>
  </si>
  <si>
    <t>AL-N</t>
  </si>
  <si>
    <t>None</t>
  </si>
  <si>
    <t>H-3</t>
  </si>
  <si>
    <t>3HTdR</t>
  </si>
  <si>
    <t>ICN/</t>
  </si>
  <si>
    <t>Ecolume</t>
  </si>
  <si>
    <t>Scintilation vials with cups</t>
  </si>
  <si>
    <t>Beckman LS5000</t>
  </si>
  <si>
    <t>11/28/2000 / 19:00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</si>
</sst>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49547811"/>
        <c:axId val="43277116"/>
      </c:scatterChart>
      <c:valAx>
        <c:axId val="4954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77116"/>
        <c:crossesAt val="0.001"/>
        <c:crossBetween val="midCat"/>
        <c:dispUnits/>
      </c:valAx>
      <c:valAx>
        <c:axId val="4327711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47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53949725"/>
        <c:axId val="15785478"/>
      </c:scatterChart>
      <c:val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crossBetween val="midCat"/>
        <c:dispUnits/>
      </c:valAx>
      <c:valAx>
        <c:axId val="1578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49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55"/>
          <c:w val="0.86475"/>
          <c:h val="0.802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0.7500438055616022</c:v>
                </c:pt>
                <c:pt idx="3">
                  <c:v>0.6660244032538448</c:v>
                </c:pt>
                <c:pt idx="4">
                  <c:v>0.8796105978911435</c:v>
                </c:pt>
                <c:pt idx="5">
                  <c:v>0.8631480434776103</c:v>
                </c:pt>
                <c:pt idx="6">
                  <c:v>1.4302391627172943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0.3026004728132387</c:v>
                </c:pt>
                <c:pt idx="3">
                  <c:v>0.3404255319148936</c:v>
                </c:pt>
                <c:pt idx="4">
                  <c:v>0.22222222222222218</c:v>
                </c:pt>
                <c:pt idx="5">
                  <c:v>0.16075650118203313</c:v>
                </c:pt>
                <c:pt idx="6">
                  <c:v>0.18439716312056736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0.7500438055616022</c:v>
                </c:pt>
                <c:pt idx="3">
                  <c:v>0.6660244032538448</c:v>
                </c:pt>
                <c:pt idx="4">
                  <c:v>0.8796105978911435</c:v>
                </c:pt>
                <c:pt idx="5">
                  <c:v>0.8631480434776103</c:v>
                </c:pt>
                <c:pt idx="6">
                  <c:v>1.4302391627172943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0.3207912421739156</c:v>
                </c:pt>
                <c:pt idx="3">
                  <c:v>0.3730652326397007</c:v>
                </c:pt>
                <c:pt idx="4">
                  <c:v>0.2434751824995727</c:v>
                </c:pt>
                <c:pt idx="5">
                  <c:v>0.2061126521005175</c:v>
                </c:pt>
                <c:pt idx="6">
                  <c:v>0.3520100898200341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7851575"/>
        <c:axId val="3555312"/>
      </c:scatterChart>
      <c:valAx>
        <c:axId val="78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5312"/>
        <c:crossesAt val="0.001"/>
        <c:crossBetween val="midCat"/>
        <c:dispUnits/>
      </c:valAx>
      <c:valAx>
        <c:axId val="3555312"/>
        <c:scaling>
          <c:logBase val="10"/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2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18.480175673217314</c:v>
                </c:pt>
                <c:pt idx="3">
                  <c:v>23.63000973332053</c:v>
                </c:pt>
                <c:pt idx="4">
                  <c:v>24.935798359606736</c:v>
                </c:pt>
                <c:pt idx="5">
                  <c:v>31.939755269225813</c:v>
                </c:pt>
                <c:pt idx="6">
                  <c:v>37.51182379882948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0.7500438055616022</c:v>
                </c:pt>
                <c:pt idx="3">
                  <c:v>0.6660244032538448</c:v>
                </c:pt>
                <c:pt idx="4">
                  <c:v>0.8796105978911435</c:v>
                </c:pt>
                <c:pt idx="5">
                  <c:v>0.8631480434776103</c:v>
                </c:pt>
                <c:pt idx="6">
                  <c:v>1.4302391627172943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1997809"/>
        <c:axId val="19544826"/>
      </c:scatterChart>
      <c:valAx>
        <c:axId val="3199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544826"/>
        <c:crosses val="autoZero"/>
        <c:crossBetween val="midCat"/>
        <c:dispUnits/>
      </c:valAx>
      <c:valAx>
        <c:axId val="19544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997809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38100</xdr:rowOff>
    </xdr:from>
    <xdr:to>
      <xdr:col>11</xdr:col>
      <xdr:colOff>352425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552825" y="3810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17</xdr:row>
      <xdr:rowOff>133350</xdr:rowOff>
    </xdr:from>
    <xdr:to>
      <xdr:col>11</xdr:col>
      <xdr:colOff>390525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3648075" y="2886075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21">
      <selection activeCell="D23" sqref="D23:D25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36858</v>
      </c>
    </row>
    <row r="2" ht="12.75">
      <c r="B2" s="61"/>
    </row>
    <row r="3" spans="1:2" ht="12.75">
      <c r="A3" s="24" t="s">
        <v>15</v>
      </c>
      <c r="B3" s="49" t="s">
        <v>90</v>
      </c>
    </row>
    <row r="4" spans="1:3" ht="12.75">
      <c r="A4" s="24" t="s">
        <v>16</v>
      </c>
      <c r="B4" s="50" t="s">
        <v>91</v>
      </c>
      <c r="C4" s="20"/>
    </row>
    <row r="5" spans="1:2" ht="12.75">
      <c r="A5" s="24" t="s">
        <v>17</v>
      </c>
      <c r="B5" s="50" t="s">
        <v>92</v>
      </c>
    </row>
    <row r="6" spans="1:2" ht="12.75">
      <c r="A6" s="24" t="s">
        <v>81</v>
      </c>
      <c r="B6" s="50" t="s">
        <v>93</v>
      </c>
    </row>
    <row r="7" spans="1:2" ht="12.75">
      <c r="A7" s="24" t="s">
        <v>21</v>
      </c>
      <c r="B7" s="50" t="s">
        <v>94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95</v>
      </c>
    </row>
    <row r="11" spans="1:2" ht="12.75">
      <c r="A11" s="24" t="s">
        <v>19</v>
      </c>
      <c r="B11" s="50" t="s">
        <v>96</v>
      </c>
    </row>
    <row r="12" spans="1:4" ht="12.75">
      <c r="A12" s="24" t="s">
        <v>27</v>
      </c>
      <c r="B12" s="52">
        <v>36836</v>
      </c>
      <c r="C12" s="20" t="s">
        <v>25</v>
      </c>
      <c r="D12" s="56">
        <v>37</v>
      </c>
    </row>
    <row r="13" spans="1:4" ht="12.75">
      <c r="A13" s="24" t="s">
        <v>28</v>
      </c>
      <c r="B13" s="52">
        <v>36858</v>
      </c>
      <c r="C13" s="20" t="s">
        <v>89</v>
      </c>
      <c r="D13" s="57">
        <v>22</v>
      </c>
    </row>
    <row r="14" spans="1:4" ht="12.75">
      <c r="A14" s="24" t="s">
        <v>83</v>
      </c>
      <c r="B14" s="51">
        <v>1</v>
      </c>
      <c r="C14" s="20" t="s">
        <v>26</v>
      </c>
      <c r="D14" s="47">
        <f>$D$12*EXP(-0.693*$D$13/($B$8))</f>
        <v>36.87486860540377</v>
      </c>
    </row>
    <row r="15" ht="12.75">
      <c r="B15" s="61"/>
    </row>
    <row r="16" spans="1:2" ht="12.75">
      <c r="A16" s="24" t="s">
        <v>35</v>
      </c>
      <c r="B16" s="49" t="s">
        <v>97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98</v>
      </c>
    </row>
    <row r="19" spans="1:2" ht="12.75">
      <c r="A19" s="24" t="s">
        <v>36</v>
      </c>
      <c r="B19" s="50" t="s">
        <v>99</v>
      </c>
    </row>
    <row r="20" spans="1:2" ht="12.75">
      <c r="A20" s="24" t="s">
        <v>37</v>
      </c>
      <c r="B20" s="51">
        <v>0.65</v>
      </c>
    </row>
    <row r="21" ht="12.75">
      <c r="B21" s="61"/>
    </row>
    <row r="22" spans="1:2" ht="12.75">
      <c r="A22" s="24" t="s">
        <v>23</v>
      </c>
      <c r="B22" s="65" t="s">
        <v>100</v>
      </c>
    </row>
    <row r="23" spans="1:4" ht="12.75">
      <c r="A23" s="24" t="s">
        <v>24</v>
      </c>
      <c r="B23" s="52">
        <v>36859.583333333336</v>
      </c>
      <c r="C23" s="20" t="s">
        <v>29</v>
      </c>
      <c r="D23" s="27">
        <v>19</v>
      </c>
    </row>
    <row r="24" spans="1:4" ht="12.75">
      <c r="A24" s="24" t="s">
        <v>69</v>
      </c>
      <c r="B24" s="52">
        <v>36867.74930555555</v>
      </c>
      <c r="C24" s="20" t="s">
        <v>30</v>
      </c>
      <c r="D24" s="27">
        <v>215</v>
      </c>
    </row>
    <row r="25" spans="1:4" ht="12.75">
      <c r="A25" s="24" t="s">
        <v>70</v>
      </c>
      <c r="B25" s="52">
        <v>36867.74930555555</v>
      </c>
      <c r="C25" s="20" t="s">
        <v>71</v>
      </c>
      <c r="D25" s="27">
        <v>196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9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9</v>
      </c>
      <c r="E32" s="54">
        <v>9</v>
      </c>
      <c r="F32" s="55">
        <v>9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B23" sqref="B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ML Nov.,28 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36858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14</v>
      </c>
      <c r="C13" s="28">
        <v>14</v>
      </c>
      <c r="D13" s="28">
        <v>13</v>
      </c>
      <c r="E13" s="34">
        <f>AVERAGE(B13:D13,B14:D14)</f>
        <v>11.666666666666666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6</v>
      </c>
      <c r="C14" s="28">
        <v>12</v>
      </c>
      <c r="D14" s="28">
        <v>11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66">
        <v>20482</v>
      </c>
      <c r="C15" s="66">
        <v>22251</v>
      </c>
      <c r="D15" s="66">
        <v>22078</v>
      </c>
      <c r="E15" s="35">
        <f>AVERAGE(B15:D15)</f>
        <v>21603.666666666668</v>
      </c>
      <c r="F15" s="36">
        <f>(E15-E13)</f>
        <v>21592</v>
      </c>
      <c r="G15" s="35">
        <f>F15/(Parameters!$B$9*Parameters!$B$20)</f>
        <v>33218.46153846154</v>
      </c>
      <c r="H15" s="37">
        <f>G15/(37000*60*Parameters!$B$26/1000)</f>
        <v>0.4987756987756988</v>
      </c>
      <c r="I15" s="37">
        <f>H15/EXP(-0.693*Parameters!$D$24/(Parameters!$B$8*24))</f>
        <v>0.49946420738425173</v>
      </c>
      <c r="J15" s="37">
        <f>I15*37</f>
        <v>18.480175673217314</v>
      </c>
      <c r="O15" s="2"/>
      <c r="P15" s="9"/>
      <c r="Q15" s="2"/>
      <c r="R15" s="1"/>
    </row>
    <row r="16" spans="1:18" ht="12.75">
      <c r="A16" s="20">
        <v>4</v>
      </c>
      <c r="B16" s="66">
        <v>27945</v>
      </c>
      <c r="C16" s="66">
        <v>28550</v>
      </c>
      <c r="D16" s="66">
        <v>26367</v>
      </c>
      <c r="E16" s="35">
        <f aca="true" t="shared" si="0" ref="E16:E22">AVERAGE(B16:D16)</f>
        <v>27620.666666666668</v>
      </c>
      <c r="F16" s="36">
        <f>E16-E13</f>
        <v>27609</v>
      </c>
      <c r="G16" s="35">
        <f>F16/(Parameters!$B$9*Parameters!$B$20)</f>
        <v>42475.38461538462</v>
      </c>
      <c r="H16" s="37">
        <f>G16/(37000*60*Parameters!$B$26/1000)</f>
        <v>0.6377685377685378</v>
      </c>
      <c r="I16" s="37">
        <f>H16/EXP(-0.693*Parameters!$D$24/(Parameters!$B$8*24))</f>
        <v>0.6386489117113657</v>
      </c>
      <c r="J16" s="37">
        <f aca="true" t="shared" si="1" ref="J16:J22">I16*37</f>
        <v>23.63000973332053</v>
      </c>
      <c r="O16" s="2"/>
      <c r="P16" s="9"/>
      <c r="Q16" s="2"/>
      <c r="R16" s="1"/>
    </row>
    <row r="17" spans="1:18" ht="12.75">
      <c r="A17" s="20">
        <v>5</v>
      </c>
      <c r="B17" s="66">
        <v>28882</v>
      </c>
      <c r="C17" s="66">
        <v>33800</v>
      </c>
      <c r="D17" s="66">
        <v>24757</v>
      </c>
      <c r="E17" s="35">
        <f t="shared" si="0"/>
        <v>29146.333333333332</v>
      </c>
      <c r="F17" s="36">
        <f>E17-E13</f>
        <v>29134.666666666664</v>
      </c>
      <c r="G17" s="35">
        <f>F17/(Parameters!$B$9*Parameters!$B$20)</f>
        <v>44822.564102564094</v>
      </c>
      <c r="H17" s="37">
        <f>G17/(37000*60*Parameters!$B$26/1000)</f>
        <v>0.6730114730114729</v>
      </c>
      <c r="I17" s="37">
        <f>H17/EXP(-0.693*Parameters!$D$24/(Parameters!$B$8*24))</f>
        <v>0.6739404962055875</v>
      </c>
      <c r="J17" s="37">
        <f t="shared" si="1"/>
        <v>24.935798359606736</v>
      </c>
      <c r="O17" s="2"/>
      <c r="P17" s="9"/>
      <c r="Q17" s="2"/>
      <c r="R17" s="1"/>
    </row>
    <row r="18" spans="1:18" ht="12.75">
      <c r="A18" s="20">
        <v>6</v>
      </c>
      <c r="B18" s="66">
        <v>34543</v>
      </c>
      <c r="C18" s="66">
        <v>40740</v>
      </c>
      <c r="D18" s="66">
        <v>36706</v>
      </c>
      <c r="E18" s="35">
        <f t="shared" si="0"/>
        <v>37329.666666666664</v>
      </c>
      <c r="F18" s="36">
        <f>E18-E13</f>
        <v>37318</v>
      </c>
      <c r="G18" s="35">
        <f>F18/(Parameters!$B$9*Parameters!$B$20)</f>
        <v>57412.30769230769</v>
      </c>
      <c r="H18" s="37">
        <f>G18/(37000*60*Parameters!$B$26/1000)</f>
        <v>0.862046662046662</v>
      </c>
      <c r="I18" s="37">
        <f>H18/EXP(-0.693*Parameters!$D$24/(Parameters!$B$8*24))</f>
        <v>0.8632366288979949</v>
      </c>
      <c r="J18" s="37">
        <f t="shared" si="1"/>
        <v>31.939755269225813</v>
      </c>
      <c r="O18" s="2"/>
      <c r="P18" s="9"/>
      <c r="Q18" s="2"/>
      <c r="R18" s="1"/>
    </row>
    <row r="19" spans="1:18" ht="12.75">
      <c r="A19" s="20">
        <v>7</v>
      </c>
      <c r="B19" s="66">
        <v>42384</v>
      </c>
      <c r="C19" s="66">
        <v>48444</v>
      </c>
      <c r="D19" s="66">
        <v>40692</v>
      </c>
      <c r="E19" s="35">
        <f t="shared" si="0"/>
        <v>43840</v>
      </c>
      <c r="F19" s="36">
        <f>E19-E13</f>
        <v>43828.333333333336</v>
      </c>
      <c r="G19" s="35">
        <f>F19/(Parameters!$B$9*Parameters!$B$20)</f>
        <v>67428.20512820513</v>
      </c>
      <c r="H19" s="37">
        <f>G19/(37000*60*Parameters!$B$26/1000)</f>
        <v>1.0124355124355124</v>
      </c>
      <c r="I19" s="37">
        <f>H19/EXP(-0.693*Parameters!$D$24/(Parameters!$B$8*24))</f>
        <v>1.0138330756440401</v>
      </c>
      <c r="J19" s="37">
        <f t="shared" si="1"/>
        <v>37.51182379882948</v>
      </c>
      <c r="O19" s="2"/>
      <c r="P19" s="9"/>
      <c r="Q19" s="2"/>
      <c r="R19" s="1"/>
    </row>
    <row r="20" spans="1:18" ht="12.75">
      <c r="A20" s="20">
        <v>8</v>
      </c>
      <c r="B20" s="29"/>
      <c r="C20" s="29"/>
      <c r="D20" s="29"/>
      <c r="E20" s="35" t="e">
        <f t="shared" si="0"/>
        <v>#DIV/0!</v>
      </c>
      <c r="F20" s="36" t="e">
        <f>E20-E13</f>
        <v>#DIV/0!</v>
      </c>
      <c r="G20" s="35" t="e">
        <f>F20/(Parameters!$B$9*Parameters!$B$20)</f>
        <v>#DIV/0!</v>
      </c>
      <c r="H20" s="37" t="e">
        <f>G20/(37000*60*Parameters!$B$26/1000)</f>
        <v>#DIV/0!</v>
      </c>
      <c r="I20" s="37" t="e">
        <f>H20/EXP(-0.693*Parameters!$D$24/(Parameters!$B$8*24))</f>
        <v>#DIV/0!</v>
      </c>
      <c r="J20" s="37" t="e">
        <f t="shared" si="1"/>
        <v>#DIV/0!</v>
      </c>
      <c r="O20" s="2"/>
      <c r="P20" s="9"/>
      <c r="Q20" s="2"/>
      <c r="R20" s="1"/>
    </row>
    <row r="21" spans="1:18" ht="12.75">
      <c r="A21" s="20">
        <v>9</v>
      </c>
      <c r="B21" s="29"/>
      <c r="C21" s="29"/>
      <c r="D21" s="29"/>
      <c r="E21" s="35" t="e">
        <f t="shared" si="0"/>
        <v>#DIV/0!</v>
      </c>
      <c r="F21" s="36" t="e">
        <f>E21-E13</f>
        <v>#DIV/0!</v>
      </c>
      <c r="G21" s="35" t="e">
        <f>F21/(Parameters!$B$9*Parameters!$B$20)</f>
        <v>#DIV/0!</v>
      </c>
      <c r="H21" s="37" t="e">
        <f>G21/(37000*60*Parameters!$B$26/1000)</f>
        <v>#DIV/0!</v>
      </c>
      <c r="I21" s="37" t="e">
        <f>H21/EXP(-0.693*Parameters!$D$24/(Parameters!$B$8*24))</f>
        <v>#DIV/0!</v>
      </c>
      <c r="J21" s="37" t="e">
        <f t="shared" si="1"/>
        <v>#DIV/0!</v>
      </c>
      <c r="O21" s="2"/>
      <c r="P21" s="9"/>
      <c r="Q21" s="2"/>
      <c r="R21" s="1"/>
    </row>
    <row r="22" spans="1:18" ht="12.75">
      <c r="A22" s="20">
        <v>10</v>
      </c>
      <c r="B22" s="29"/>
      <c r="C22" s="29"/>
      <c r="D22" s="29"/>
      <c r="E22" s="35" t="e">
        <f t="shared" si="0"/>
        <v>#DIV/0!</v>
      </c>
      <c r="F22" s="36" t="e">
        <f>E22-E13</f>
        <v>#DIV/0!</v>
      </c>
      <c r="G22" s="35" t="e">
        <f>F22/(Parameters!$B$9*Parameters!$B$20)</f>
        <v>#DIV/0!</v>
      </c>
      <c r="H22" s="37" t="e">
        <f>G22/(37000*60*Parameters!$B$26/1000)</f>
        <v>#DIV/0!</v>
      </c>
      <c r="I22" s="37" t="e">
        <f>H22/EXP(-0.693*Parameters!$D$24/(Parameters!$B$8*24))</f>
        <v>#DIV/0!</v>
      </c>
      <c r="J22" s="37" t="e">
        <f t="shared" si="1"/>
        <v>#DIV/0!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23" sqref="D23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ML Nov.,28 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36858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10</v>
      </c>
      <c r="C13" s="28">
        <v>10</v>
      </c>
      <c r="D13" s="28">
        <v>7</v>
      </c>
      <c r="E13" s="34">
        <f>AVERAGE(B13:D14)</f>
        <v>9.333333333333334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6</v>
      </c>
      <c r="C14" s="28">
        <v>15</v>
      </c>
      <c r="D14" s="28">
        <v>8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66">
        <v>5303</v>
      </c>
      <c r="C15" s="66">
        <v>2709</v>
      </c>
      <c r="D15" s="66">
        <v>3009</v>
      </c>
      <c r="E15" s="35">
        <f aca="true" t="shared" si="1" ref="E15:E22">AVERAGE(B15:D15)</f>
        <v>3673.6666666666665</v>
      </c>
      <c r="F15" s="35">
        <f>E15-$E$13</f>
        <v>3664.333333333333</v>
      </c>
      <c r="G15" s="35">
        <f>F15/(Parameters!$B$9*Parameters!$B$20)</f>
        <v>5637.435897435897</v>
      </c>
      <c r="H15" s="42">
        <f>G15/(37000*60*Parameters!$B$27/1000)</f>
        <v>0.02539385539385539</v>
      </c>
      <c r="I15" s="42">
        <f>H15/EXP(-0.693*(Parameters!$D$25)/(Parameters!$B$8*24))</f>
        <v>0.025425809293398164</v>
      </c>
      <c r="J15" s="37">
        <f t="shared" si="0"/>
        <v>0.9407549438557321</v>
      </c>
    </row>
    <row r="16" spans="1:10" ht="12.75">
      <c r="A16" s="20">
        <v>4</v>
      </c>
      <c r="B16" s="66">
        <v>3375</v>
      </c>
      <c r="C16" s="66">
        <v>3420</v>
      </c>
      <c r="D16" s="66">
        <v>2676</v>
      </c>
      <c r="E16" s="35">
        <f t="shared" si="1"/>
        <v>3157</v>
      </c>
      <c r="F16" s="35">
        <f aca="true" t="shared" si="2" ref="F16:F22">E16-$E$13</f>
        <v>3147.6666666666665</v>
      </c>
      <c r="G16" s="35">
        <f>F16/(Parameters!$B$9*Parameters!$B$20)</f>
        <v>4842.5641025641025</v>
      </c>
      <c r="H16" s="42">
        <f>G16/(37000*60*Parameters!$B$27/1000)</f>
        <v>0.021813351813351815</v>
      </c>
      <c r="I16" s="42">
        <f>H16/EXP(-0.693*(Parameters!$D$25)/(Parameters!$B$8*24))</f>
        <v>0.021840800250846806</v>
      </c>
      <c r="J16" s="37">
        <f t="shared" si="0"/>
        <v>0.8081096092813318</v>
      </c>
    </row>
    <row r="17" spans="1:10" ht="12.75">
      <c r="A17" s="20">
        <v>5</v>
      </c>
      <c r="B17" s="66">
        <v>4044</v>
      </c>
      <c r="C17" s="66">
        <v>4146</v>
      </c>
      <c r="D17" s="66">
        <v>4312</v>
      </c>
      <c r="E17" s="35">
        <f t="shared" si="1"/>
        <v>4167.333333333333</v>
      </c>
      <c r="F17" s="35">
        <f t="shared" si="2"/>
        <v>4158</v>
      </c>
      <c r="G17" s="35">
        <f>F17/(Parameters!$B$9*Parameters!$B$20)</f>
        <v>6396.923076923077</v>
      </c>
      <c r="H17" s="42">
        <f>G17/(37000*60*Parameters!$B$27/1000)</f>
        <v>0.028814968814968814</v>
      </c>
      <c r="I17" s="42">
        <f>H17/EXP(-0.693*(Parameters!$D$25)/(Parameters!$B$8*24))</f>
        <v>0.02885122761082951</v>
      </c>
      <c r="J17" s="37">
        <f t="shared" si="0"/>
        <v>1.0674954216006918</v>
      </c>
    </row>
    <row r="18" spans="1:10" ht="12.75">
      <c r="A18" s="20">
        <v>6</v>
      </c>
      <c r="B18" s="66">
        <v>3512</v>
      </c>
      <c r="C18" s="66">
        <v>3830</v>
      </c>
      <c r="D18" s="66">
        <v>3146</v>
      </c>
      <c r="E18" s="35">
        <f t="shared" si="1"/>
        <v>3496</v>
      </c>
      <c r="F18" s="35">
        <f t="shared" si="2"/>
        <v>3486.6666666666665</v>
      </c>
      <c r="G18" s="35">
        <f>F18/(Parameters!$B$9*Parameters!$B$20)</f>
        <v>5364.1025641025635</v>
      </c>
      <c r="H18" s="42">
        <f>G18/(37000*60*Parameters!$B$27/1000)</f>
        <v>0.02416262416262416</v>
      </c>
      <c r="I18" s="42">
        <f>H18/EXP(-0.693*(Parameters!$D$25)/(Parameters!$B$8*24))</f>
        <v>0.024193028764572442</v>
      </c>
      <c r="J18" s="37">
        <f t="shared" si="0"/>
        <v>0.8951420642891803</v>
      </c>
    </row>
    <row r="19" spans="1:10" ht="12.75">
      <c r="A19" s="20">
        <v>7</v>
      </c>
      <c r="B19" s="66">
        <v>3780</v>
      </c>
      <c r="C19" s="66">
        <v>3900</v>
      </c>
      <c r="D19" s="66">
        <v>3989</v>
      </c>
      <c r="E19" s="35">
        <f t="shared" si="1"/>
        <v>3889.6666666666665</v>
      </c>
      <c r="F19" s="35">
        <f t="shared" si="2"/>
        <v>3880.333333333333</v>
      </c>
      <c r="G19" s="35">
        <f>F19/(Parameters!$B$9*Parameters!$B$20)</f>
        <v>5969.743589743589</v>
      </c>
      <c r="H19" s="42">
        <f>G19/(37000*60*Parameters!$B$27/1000)</f>
        <v>0.026890736890736885</v>
      </c>
      <c r="I19" s="42">
        <f>H19/EXP(-0.693*(Parameters!$D$25)/(Parameters!$B$8*24))</f>
        <v>0.026924574364090608</v>
      </c>
      <c r="J19" s="37">
        <f t="shared" si="0"/>
        <v>0.9962092514713525</v>
      </c>
    </row>
    <row r="20" spans="1:10" ht="12.75">
      <c r="A20" s="20">
        <v>8</v>
      </c>
      <c r="B20" s="29"/>
      <c r="C20" s="29"/>
      <c r="D20" s="29"/>
      <c r="E20" s="35" t="e">
        <f t="shared" si="1"/>
        <v>#DIV/0!</v>
      </c>
      <c r="F20" s="35" t="e">
        <f t="shared" si="2"/>
        <v>#DIV/0!</v>
      </c>
      <c r="G20" s="35" t="e">
        <f>F20/(Parameters!$B$9*Parameters!$B$20)</f>
        <v>#DIV/0!</v>
      </c>
      <c r="H20" s="42" t="e">
        <f>G20/(37000*60*Parameters!$B$27/1000)</f>
        <v>#DIV/0!</v>
      </c>
      <c r="I20" s="42" t="e">
        <f>H20/EXP(-0.693*(Parameters!$D$25)/(Parameters!$B$8*24))</f>
        <v>#DIV/0!</v>
      </c>
      <c r="J20" s="37" t="e">
        <f t="shared" si="0"/>
        <v>#DIV/0!</v>
      </c>
    </row>
    <row r="21" spans="1:10" ht="12.75">
      <c r="A21" s="20">
        <v>9</v>
      </c>
      <c r="B21" s="29"/>
      <c r="C21" s="29"/>
      <c r="D21" s="29"/>
      <c r="E21" s="35" t="e">
        <f t="shared" si="1"/>
        <v>#DIV/0!</v>
      </c>
      <c r="F21" s="35" t="e">
        <f t="shared" si="2"/>
        <v>#DIV/0!</v>
      </c>
      <c r="G21" s="35" t="e">
        <f>F21/(Parameters!$B$9*Parameters!$B$20)</f>
        <v>#DIV/0!</v>
      </c>
      <c r="H21" s="42" t="e">
        <f>G21/(37000*60*Parameters!$B$27/1000)</f>
        <v>#DIV/0!</v>
      </c>
      <c r="I21" s="42" t="e">
        <f>H21/EXP(-0.693*(Parameters!$D$25)/(Parameters!$B$8*24))</f>
        <v>#DIV/0!</v>
      </c>
      <c r="J21" s="37" t="e">
        <f t="shared" si="0"/>
        <v>#DIV/0!</v>
      </c>
    </row>
    <row r="22" spans="1:10" ht="12.75">
      <c r="A22" s="20">
        <v>10</v>
      </c>
      <c r="B22" s="29"/>
      <c r="C22" s="29"/>
      <c r="D22" s="29"/>
      <c r="E22" s="35" t="e">
        <f t="shared" si="1"/>
        <v>#DIV/0!</v>
      </c>
      <c r="F22" s="35" t="e">
        <f t="shared" si="2"/>
        <v>#DIV/0!</v>
      </c>
      <c r="G22" s="35" t="e">
        <f>F22/(Parameters!$B$9*Parameters!$B$20)</f>
        <v>#DIV/0!</v>
      </c>
      <c r="H22" s="42" t="e">
        <f>G22/(37000*60*Parameters!$B$27/1000)</f>
        <v>#DIV/0!</v>
      </c>
      <c r="I22" s="42" t="e">
        <f>H22/EXP(-0.693*(Parameters!$D$25)/(Parameters!$B$8*24))</f>
        <v>#DIV/0!</v>
      </c>
      <c r="J22" s="37" t="e">
        <f t="shared" si="0"/>
        <v>#DIV/0!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7">
      <selection activeCell="F42" sqref="F42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ML Nov.,28 , 2000</v>
      </c>
      <c r="D3" s="20"/>
      <c r="E3" s="20"/>
      <c r="F3" s="20"/>
    </row>
    <row r="4" spans="1:6" ht="12.75">
      <c r="A4" s="62" t="s">
        <v>12</v>
      </c>
      <c r="B4" s="20"/>
      <c r="C4" s="43">
        <f>Parameters!$B$1</f>
        <v>36858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3407</v>
      </c>
      <c r="C13" s="28">
        <v>3511</v>
      </c>
      <c r="D13" s="28">
        <v>3459</v>
      </c>
      <c r="E13" s="34">
        <f>IF(Parameters!$B$33="Yes",AVERAGE(G13:J13),AVERAGE(B13:D13))</f>
        <v>3459</v>
      </c>
      <c r="F13" s="34">
        <f>IF(Parameters!$B$33="Yes",E13*10000,(E13-Parameters!$B$31)*Parameters!$B$32*(100/Parameters!$B$29)*(500/Parameters!$B$30))</f>
        <v>1380000</v>
      </c>
      <c r="G13" s="26"/>
      <c r="H13" s="26"/>
      <c r="I13" s="26"/>
      <c r="J13" s="26"/>
    </row>
    <row r="14" spans="1:10" ht="12.75">
      <c r="A14" s="63">
        <v>2</v>
      </c>
      <c r="B14" s="28">
        <v>3259</v>
      </c>
      <c r="C14" s="28">
        <v>3190</v>
      </c>
      <c r="D14" s="28">
        <v>3173</v>
      </c>
      <c r="E14" s="34">
        <f>IF(Parameters!$B$33="Yes",AVERAGE(G14:J14),AVERAGE(B14:D14))</f>
        <v>3207.3333333333335</v>
      </c>
      <c r="F14" s="34">
        <f>IF(Parameters!$B$33="Yes",E14*10000,(E14-Parameters!$B$31)*Parameters!$B$32*(100/Parameters!$B$29)*(500/Parameters!$B$30))</f>
        <v>1279333.3333333335</v>
      </c>
      <c r="G14" s="26"/>
      <c r="H14" s="26"/>
      <c r="I14" s="26"/>
      <c r="J14" s="26"/>
    </row>
    <row r="15" spans="1:10" ht="12.75">
      <c r="A15" s="62">
        <v>3</v>
      </c>
      <c r="B15" s="66">
        <v>3176</v>
      </c>
      <c r="C15" s="66">
        <v>3125</v>
      </c>
      <c r="D15" s="66">
        <v>3133</v>
      </c>
      <c r="E15" s="35">
        <f>IF(Parameters!$B$33="Yes",AVERAGE(G15:J15),AVERAGE(B15:D15))</f>
        <v>3144.6666666666665</v>
      </c>
      <c r="F15" s="35">
        <f>IF(Parameters!$B$33="Yes",E15*10000,(E15-Parameters!$B$31)*Parameters!$B$32*(100/Parameters!$B$29)*(500/Parameters!$B$30))</f>
        <v>1254266.6666666665</v>
      </c>
      <c r="G15" s="26"/>
      <c r="H15" s="26"/>
      <c r="I15" s="26"/>
      <c r="J15" s="26"/>
    </row>
    <row r="16" spans="1:10" ht="12.75">
      <c r="A16" s="62">
        <v>4</v>
      </c>
      <c r="B16" s="66">
        <v>3225</v>
      </c>
      <c r="C16" s="66">
        <v>3134</v>
      </c>
      <c r="D16" s="66">
        <v>2768</v>
      </c>
      <c r="E16" s="35">
        <f>IF(Parameters!$B$33="Yes",AVERAGE(G16:J16),AVERAGE(B16:D16))</f>
        <v>3042.3333333333335</v>
      </c>
      <c r="F16" s="35">
        <f>IF(Parameters!$B$33="Yes",E16*10000,(E16-Parameters!$B$31)*Parameters!$B$32*(100/Parameters!$B$29)*(500/Parameters!$B$30))</f>
        <v>1213333.3333333335</v>
      </c>
      <c r="G16" s="26"/>
      <c r="H16" s="26"/>
      <c r="I16" s="26"/>
      <c r="J16" s="26"/>
    </row>
    <row r="17" spans="1:10" ht="12.75">
      <c r="A17" s="62">
        <v>5</v>
      </c>
      <c r="B17" s="66">
        <v>3063</v>
      </c>
      <c r="C17" s="66">
        <v>3095</v>
      </c>
      <c r="D17" s="66">
        <v>2971</v>
      </c>
      <c r="E17" s="35">
        <f>IF(Parameters!$B$33="Yes",AVERAGE(G17:J17),AVERAGE(B17:D17))</f>
        <v>3043</v>
      </c>
      <c r="F17" s="35">
        <f>IF(Parameters!$B$33="Yes",E17*10000,(E17-Parameters!$B$31)*Parameters!$B$32*(100/Parameters!$B$29)*(500/Parameters!$B$30))</f>
        <v>1213600</v>
      </c>
      <c r="G17" s="26"/>
      <c r="H17" s="26"/>
      <c r="I17" s="26"/>
      <c r="J17" s="26"/>
    </row>
    <row r="18" spans="1:10" ht="12.75">
      <c r="A18" s="62">
        <v>6</v>
      </c>
      <c r="B18" s="66">
        <v>2614</v>
      </c>
      <c r="C18" s="66">
        <v>2510</v>
      </c>
      <c r="D18" s="66">
        <v>2681</v>
      </c>
      <c r="E18" s="35">
        <f>IF(Parameters!$B$33="Yes",AVERAGE(G18:J18),AVERAGE(B18:D18))</f>
        <v>2601.6666666666665</v>
      </c>
      <c r="F18" s="35">
        <f>IF(Parameters!$B$33="Yes",E18*10000,(E18-Parameters!$B$31)*Parameters!$B$32*(100/Parameters!$B$29)*(500/Parameters!$B$30))</f>
        <v>1037066.6666666666</v>
      </c>
      <c r="G18" s="26"/>
      <c r="H18" s="26"/>
      <c r="I18" s="26"/>
      <c r="J18" s="26"/>
    </row>
    <row r="19" spans="1:10" ht="12.75">
      <c r="A19" s="62">
        <v>7</v>
      </c>
      <c r="B19" s="66">
        <v>1753</v>
      </c>
      <c r="C19" s="66">
        <v>1711</v>
      </c>
      <c r="D19" s="66">
        <v>1787</v>
      </c>
      <c r="E19" s="35">
        <f>IF(Parameters!$B$33="Yes",AVERAGE(G19:J19),AVERAGE(B19:D19))</f>
        <v>1750.3333333333333</v>
      </c>
      <c r="F19" s="35">
        <f>IF(Parameters!$B$33="Yes",E19*10000,(E19-Parameters!$B$31)*Parameters!$B$32*(100/Parameters!$B$29)*(500/Parameters!$B$30))</f>
        <v>696533.3333333333</v>
      </c>
      <c r="G19" s="26"/>
      <c r="H19" s="26"/>
      <c r="I19" s="26"/>
      <c r="J19" s="26"/>
    </row>
    <row r="20" spans="1:10" ht="12.75">
      <c r="A20" s="62">
        <v>8</v>
      </c>
      <c r="B20" s="29"/>
      <c r="C20" s="29"/>
      <c r="D20" s="29"/>
      <c r="E20" s="35" t="e">
        <f>IF(Parameters!$B$33="Yes",AVERAGE(G20:J20),AVERAGE(B20:D20))</f>
        <v>#DIV/0!</v>
      </c>
      <c r="F20" s="35" t="e">
        <f>IF(Parameters!$B$33="Yes",E20*10000,(E20-Parameters!$B$31)*Parameters!$B$32*(100/Parameters!$B$29)*(500/Parameters!$B$30))</f>
        <v>#DIV/0!</v>
      </c>
      <c r="G20" s="26"/>
      <c r="H20" s="26"/>
      <c r="I20" s="26"/>
      <c r="J20" s="26"/>
    </row>
    <row r="21" spans="1:10" ht="12.75">
      <c r="A21" s="62">
        <v>9</v>
      </c>
      <c r="B21" s="29"/>
      <c r="C21" s="29"/>
      <c r="D21" s="29"/>
      <c r="E21" s="35" t="e">
        <f>IF(Parameters!$B$33="Yes",AVERAGE(G21:J21),AVERAGE(B21:D21))</f>
        <v>#DIV/0!</v>
      </c>
      <c r="F21" s="35" t="e">
        <f>IF(Parameters!$B$33="Yes",E21*10000,(E21-Parameters!$B$31)*Parameters!$B$32*(100/Parameters!$B$29)*(500/Parameters!$B$30))</f>
        <v>#DIV/0!</v>
      </c>
      <c r="G21" s="26"/>
      <c r="H21" s="26"/>
      <c r="I21" s="26"/>
      <c r="J21" s="26"/>
    </row>
    <row r="22" spans="1:10" ht="12.75">
      <c r="A22" s="62">
        <v>10</v>
      </c>
      <c r="B22" s="29"/>
      <c r="C22" s="29"/>
      <c r="D22" s="29"/>
      <c r="E22" s="35" t="e">
        <f>IF(Parameters!$B$33="Yes",AVERAGE(G22:J22),AVERAGE(B22:D22))</f>
        <v>#DIV/0!</v>
      </c>
      <c r="F22" s="35" t="e">
        <f>IF(Parameters!$B$33="Yes",E22*10000,(E22-Parameters!$B$31)*Parameters!$B$32*(100/Parameters!$B$29)*(500/Parameters!$B$30))</f>
        <v>#DIV/0!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138</v>
      </c>
      <c r="D35" s="28">
        <v>84</v>
      </c>
      <c r="E35" s="28">
        <v>81</v>
      </c>
      <c r="F35" s="28">
        <v>76</v>
      </c>
      <c r="G35" s="34">
        <f>AVERAGE(D35:F36)</f>
        <v>70.5</v>
      </c>
      <c r="H35" s="44">
        <f>G35/C35*100</f>
        <v>51.08695652173913</v>
      </c>
      <c r="I35" s="59">
        <f>G35*200/B35/$G$35</f>
        <v>1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127.93333333333335</v>
      </c>
      <c r="D36" s="28">
        <v>72</v>
      </c>
      <c r="E36" s="28">
        <v>62</v>
      </c>
      <c r="F36" s="28">
        <v>48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125.42666666666665</v>
      </c>
      <c r="D37" s="29">
        <v>25</v>
      </c>
      <c r="E37" s="29">
        <v>16</v>
      </c>
      <c r="F37" s="29">
        <v>23</v>
      </c>
      <c r="G37" s="35">
        <f aca="true" t="shared" si="1" ref="G37:G44">AVERAGE(D37:F37)</f>
        <v>21.333333333333332</v>
      </c>
      <c r="H37" s="46">
        <f aca="true" t="shared" si="2" ref="H37:H44">G37/C37*100</f>
        <v>17.00861060912087</v>
      </c>
      <c r="I37" s="37">
        <f aca="true" t="shared" si="3" ref="I37:I44">G37*200/B37/$G$35</f>
        <v>0.3026004728132387</v>
      </c>
      <c r="J37" s="37">
        <f>(G37/C37)/($G$35/AVERAGE($C$35,$C$36))</f>
        <v>0.3207912421739156</v>
      </c>
    </row>
    <row r="38" spans="1:10" ht="12.75">
      <c r="A38" s="62">
        <v>4</v>
      </c>
      <c r="B38" s="26">
        <v>200</v>
      </c>
      <c r="C38" s="35">
        <f t="shared" si="0"/>
        <v>121.33333333333334</v>
      </c>
      <c r="D38" s="29">
        <v>22</v>
      </c>
      <c r="E38" s="29">
        <v>22</v>
      </c>
      <c r="F38" s="29">
        <v>28</v>
      </c>
      <c r="G38" s="35">
        <f t="shared" si="1"/>
        <v>24</v>
      </c>
      <c r="H38" s="46">
        <f t="shared" si="2"/>
        <v>19.78021978021978</v>
      </c>
      <c r="I38" s="37">
        <f t="shared" si="3"/>
        <v>0.3404255319148936</v>
      </c>
      <c r="J38" s="37">
        <f aca="true" t="shared" si="4" ref="J38:J44">(G38/C38)/($G$35/AVERAGE($C$35,$C$36))</f>
        <v>0.3730652326397007</v>
      </c>
    </row>
    <row r="39" spans="1:10" ht="12.75">
      <c r="A39" s="62">
        <v>5</v>
      </c>
      <c r="B39" s="26">
        <v>200</v>
      </c>
      <c r="C39" s="35">
        <f t="shared" si="0"/>
        <v>121.36</v>
      </c>
      <c r="D39" s="29">
        <v>15</v>
      </c>
      <c r="E39" s="29">
        <v>18</v>
      </c>
      <c r="F39" s="29">
        <v>14</v>
      </c>
      <c r="G39" s="35">
        <f t="shared" si="1"/>
        <v>15.666666666666666</v>
      </c>
      <c r="H39" s="46">
        <f t="shared" si="2"/>
        <v>12.909250714128762</v>
      </c>
      <c r="I39" s="37">
        <f t="shared" si="3"/>
        <v>0.22222222222222218</v>
      </c>
      <c r="J39" s="37">
        <f t="shared" si="4"/>
        <v>0.2434751824995727</v>
      </c>
    </row>
    <row r="40" spans="1:10" ht="12.75">
      <c r="A40" s="62">
        <v>6</v>
      </c>
      <c r="B40" s="26">
        <v>200</v>
      </c>
      <c r="C40" s="35">
        <f t="shared" si="0"/>
        <v>103.70666666666666</v>
      </c>
      <c r="D40" s="29">
        <v>12</v>
      </c>
      <c r="E40" s="29">
        <v>9</v>
      </c>
      <c r="F40" s="29">
        <v>13</v>
      </c>
      <c r="G40" s="35">
        <f t="shared" si="1"/>
        <v>11.333333333333334</v>
      </c>
      <c r="H40" s="46">
        <f t="shared" si="2"/>
        <v>10.9282591925945</v>
      </c>
      <c r="I40" s="37">
        <f t="shared" si="3"/>
        <v>0.16075650118203313</v>
      </c>
      <c r="J40" s="37">
        <f t="shared" si="4"/>
        <v>0.2061126521005175</v>
      </c>
    </row>
    <row r="41" spans="1:10" ht="12.75">
      <c r="A41" s="62">
        <v>7</v>
      </c>
      <c r="B41" s="26">
        <v>200</v>
      </c>
      <c r="C41" s="35">
        <f t="shared" si="0"/>
        <v>69.65333333333332</v>
      </c>
      <c r="D41" s="29">
        <v>11</v>
      </c>
      <c r="E41" s="29">
        <v>17</v>
      </c>
      <c r="F41" s="29">
        <v>11</v>
      </c>
      <c r="G41" s="35">
        <f t="shared" si="1"/>
        <v>13</v>
      </c>
      <c r="H41" s="46">
        <f t="shared" si="2"/>
        <v>18.663859111791734</v>
      </c>
      <c r="I41" s="37">
        <f t="shared" si="3"/>
        <v>0.18439716312056736</v>
      </c>
      <c r="J41" s="37">
        <f t="shared" si="4"/>
        <v>0.3520100898200341</v>
      </c>
    </row>
    <row r="42" spans="1:10" ht="12.75">
      <c r="A42" s="62">
        <v>8</v>
      </c>
      <c r="B42" s="26"/>
      <c r="C42" s="35" t="e">
        <f t="shared" si="0"/>
        <v>#DIV/0!</v>
      </c>
      <c r="D42" s="29"/>
      <c r="E42" s="29"/>
      <c r="F42" s="29"/>
      <c r="G42" s="35" t="e">
        <f t="shared" si="1"/>
        <v>#DIV/0!</v>
      </c>
      <c r="H42" s="46" t="e">
        <f t="shared" si="2"/>
        <v>#DIV/0!</v>
      </c>
      <c r="I42" s="37" t="e">
        <f t="shared" si="3"/>
        <v>#DIV/0!</v>
      </c>
      <c r="J42" s="37" t="e">
        <f t="shared" si="4"/>
        <v>#DIV/0!</v>
      </c>
    </row>
    <row r="43" spans="1:10" ht="12.75">
      <c r="A43" s="62">
        <v>9</v>
      </c>
      <c r="B43" s="26"/>
      <c r="C43" s="35" t="e">
        <f t="shared" si="0"/>
        <v>#DIV/0!</v>
      </c>
      <c r="D43" s="29"/>
      <c r="E43" s="29"/>
      <c r="F43" s="29"/>
      <c r="G43" s="35" t="e">
        <f t="shared" si="1"/>
        <v>#DIV/0!</v>
      </c>
      <c r="H43" s="46" t="e">
        <f t="shared" si="2"/>
        <v>#DIV/0!</v>
      </c>
      <c r="I43" s="37" t="e">
        <f t="shared" si="3"/>
        <v>#DIV/0!</v>
      </c>
      <c r="J43" s="37" t="e">
        <f t="shared" si="4"/>
        <v>#DIV/0!</v>
      </c>
    </row>
    <row r="44" spans="1:10" ht="12.75">
      <c r="A44" s="62">
        <v>10</v>
      </c>
      <c r="B44" s="26"/>
      <c r="C44" s="35" t="e">
        <f t="shared" si="0"/>
        <v>#DIV/0!</v>
      </c>
      <c r="D44" s="29"/>
      <c r="E44" s="29"/>
      <c r="F44" s="29"/>
      <c r="G44" s="35" t="e">
        <f t="shared" si="1"/>
        <v>#DIV/0!</v>
      </c>
      <c r="H44" s="46" t="e">
        <f t="shared" si="2"/>
        <v>#DIV/0!</v>
      </c>
      <c r="I44" s="37" t="e">
        <f t="shared" si="3"/>
        <v>#DIV/0!</v>
      </c>
      <c r="J44" s="37" t="e">
        <f t="shared" si="4"/>
        <v>#DIV/0!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29" sqref="F29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36858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18.480175673217314</v>
      </c>
      <c r="C15" s="46">
        <f>CellSuspension!J15/(CoulterSurvival!F15*Parameters!$B$14)*1000000</f>
        <v>0.7500438055616022</v>
      </c>
      <c r="D15" s="37">
        <f>CoulterSurvival!I37</f>
        <v>0.3026004728132387</v>
      </c>
      <c r="E15" s="37">
        <f>CoulterSurvival!J37</f>
        <v>0.3207912421739156</v>
      </c>
    </row>
    <row r="16" spans="1:5" ht="12.75">
      <c r="A16" s="20">
        <v>4</v>
      </c>
      <c r="B16" s="46">
        <f>MediumActivity!J16</f>
        <v>23.63000973332053</v>
      </c>
      <c r="C16" s="46">
        <f>CellSuspension!J16/(CoulterSurvival!F16*Parameters!$B$14)*1000000</f>
        <v>0.6660244032538448</v>
      </c>
      <c r="D16" s="37">
        <f>CoulterSurvival!I38</f>
        <v>0.3404255319148936</v>
      </c>
      <c r="E16" s="37">
        <f>CoulterSurvival!J38</f>
        <v>0.3730652326397007</v>
      </c>
    </row>
    <row r="17" spans="1:5" ht="12.75">
      <c r="A17" s="20">
        <v>5</v>
      </c>
      <c r="B17" s="46">
        <f>MediumActivity!J17</f>
        <v>24.935798359606736</v>
      </c>
      <c r="C17" s="46">
        <f>CellSuspension!J17/(CoulterSurvival!F17*Parameters!$B$14)*1000000</f>
        <v>0.8796105978911435</v>
      </c>
      <c r="D17" s="37">
        <f>CoulterSurvival!I39</f>
        <v>0.22222222222222218</v>
      </c>
      <c r="E17" s="37">
        <f>CoulterSurvival!J39</f>
        <v>0.2434751824995727</v>
      </c>
    </row>
    <row r="18" spans="1:5" ht="12.75">
      <c r="A18" s="20">
        <v>6</v>
      </c>
      <c r="B18" s="46">
        <f>MediumActivity!J18</f>
        <v>31.939755269225813</v>
      </c>
      <c r="C18" s="46">
        <f>CellSuspension!J18/(CoulterSurvival!F18*Parameters!$B$14)*1000000</f>
        <v>0.8631480434776103</v>
      </c>
      <c r="D18" s="37">
        <f>CoulterSurvival!I40</f>
        <v>0.16075650118203313</v>
      </c>
      <c r="E18" s="37">
        <f>CoulterSurvival!J40</f>
        <v>0.2061126521005175</v>
      </c>
    </row>
    <row r="19" spans="1:5" ht="12.75">
      <c r="A19" s="20">
        <v>7</v>
      </c>
      <c r="B19" s="46">
        <f>MediumActivity!J19</f>
        <v>37.51182379882948</v>
      </c>
      <c r="C19" s="46">
        <f>CellSuspension!J19/(CoulterSurvival!F19*Parameters!$B$14)*1000000</f>
        <v>1.4302391627172943</v>
      </c>
      <c r="D19" s="37">
        <f>CoulterSurvival!I41</f>
        <v>0.18439716312056736</v>
      </c>
      <c r="E19" s="37">
        <f>CoulterSurvival!J41</f>
        <v>0.3520100898200341</v>
      </c>
    </row>
    <row r="20" spans="1:5" ht="12.75">
      <c r="A20" s="20">
        <v>8</v>
      </c>
      <c r="B20" s="46" t="e">
        <f>MediumActivity!J20</f>
        <v>#DIV/0!</v>
      </c>
      <c r="C20" s="46" t="e">
        <f>CellSuspension!J20/(CoulterSurvival!F20*Parameters!$B$14)*1000000</f>
        <v>#DIV/0!</v>
      </c>
      <c r="D20" s="37" t="e">
        <f>CoulterSurvival!I42</f>
        <v>#DIV/0!</v>
      </c>
      <c r="E20" s="37" t="e">
        <f>CoulterSurvival!J42</f>
        <v>#DIV/0!</v>
      </c>
    </row>
    <row r="21" spans="1:5" ht="12.75">
      <c r="A21" s="20">
        <v>9</v>
      </c>
      <c r="B21" s="46" t="e">
        <f>MediumActivity!J21</f>
        <v>#DIV/0!</v>
      </c>
      <c r="C21" s="46" t="e">
        <f>CellSuspension!J21/(CoulterSurvival!F21*Parameters!$B$14)*1000000</f>
        <v>#DIV/0!</v>
      </c>
      <c r="D21" s="37" t="e">
        <f>CoulterSurvival!I43</f>
        <v>#DIV/0!</v>
      </c>
      <c r="E21" s="37" t="e">
        <f>CoulterSurvival!J43</f>
        <v>#DIV/0!</v>
      </c>
    </row>
    <row r="22" spans="1:5" ht="12.75">
      <c r="A22" s="20">
        <v>10</v>
      </c>
      <c r="B22" s="46" t="e">
        <f>MediumActivity!J22</f>
        <v>#DIV/0!</v>
      </c>
      <c r="C22" s="46" t="e">
        <f>CellSuspension!J22/(CoulterSurvival!F22*Parameters!$B$14)*1000000</f>
        <v>#DIV/0!</v>
      </c>
      <c r="D22" s="37" t="e">
        <f>CoulterSurvival!I44</f>
        <v>#DIV/0!</v>
      </c>
      <c r="E22" s="37" t="e">
        <f>CoulterSurvival!J44</f>
        <v>#DIV/0!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workbookViewId="0" topLeftCell="A1">
      <selection activeCell="L20" sqref="L20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36858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18.480175673217314</v>
      </c>
      <c r="C15" s="46">
        <f>CellSuspension!J15/(CoulterSurvival!F15*Parameters!$B$14)*1000000</f>
        <v>0.7500438055616022</v>
      </c>
      <c r="D15" s="37">
        <f>CoulterSurvival!I37</f>
        <v>0.3026004728132387</v>
      </c>
      <c r="E15" s="37">
        <f>CoulterSurvival!J37</f>
        <v>0.3207912421739156</v>
      </c>
    </row>
    <row r="16" spans="1:5" ht="12.75">
      <c r="A16" s="20">
        <v>4</v>
      </c>
      <c r="B16" s="46">
        <f>MediumActivity!J16</f>
        <v>23.63000973332053</v>
      </c>
      <c r="C16" s="46">
        <f>CellSuspension!J16/(CoulterSurvival!F16*Parameters!$B$14)*1000000</f>
        <v>0.6660244032538448</v>
      </c>
      <c r="D16" s="37">
        <f>CoulterSurvival!I38</f>
        <v>0.3404255319148936</v>
      </c>
      <c r="E16" s="37">
        <f>CoulterSurvival!J38</f>
        <v>0.3730652326397007</v>
      </c>
    </row>
    <row r="17" spans="1:5" ht="12.75">
      <c r="A17" s="20">
        <v>5</v>
      </c>
      <c r="B17" s="46">
        <f>MediumActivity!J17</f>
        <v>24.935798359606736</v>
      </c>
      <c r="C17" s="46">
        <f>CellSuspension!J17/(CoulterSurvival!F17*Parameters!$B$14)*1000000</f>
        <v>0.8796105978911435</v>
      </c>
      <c r="D17" s="37">
        <f>CoulterSurvival!I39</f>
        <v>0.22222222222222218</v>
      </c>
      <c r="E17" s="37">
        <f>CoulterSurvival!J39</f>
        <v>0.2434751824995727</v>
      </c>
    </row>
    <row r="18" spans="1:5" ht="12.75">
      <c r="A18" s="20">
        <v>6</v>
      </c>
      <c r="B18" s="46">
        <f>MediumActivity!J18</f>
        <v>31.939755269225813</v>
      </c>
      <c r="C18" s="46">
        <f>CellSuspension!J18/(CoulterSurvival!F18*Parameters!$B$14)*1000000</f>
        <v>0.8631480434776103</v>
      </c>
      <c r="D18" s="37">
        <f>CoulterSurvival!I40</f>
        <v>0.16075650118203313</v>
      </c>
      <c r="E18" s="37">
        <f>CoulterSurvival!J40</f>
        <v>0.2061126521005175</v>
      </c>
    </row>
    <row r="19" spans="1:5" ht="12.75">
      <c r="A19" s="20">
        <v>7</v>
      </c>
      <c r="B19" s="46">
        <f>MediumActivity!J19</f>
        <v>37.51182379882948</v>
      </c>
      <c r="C19" s="46">
        <f>CellSuspension!J19/(CoulterSurvival!F19*Parameters!$B$14)*1000000</f>
        <v>1.4302391627172943</v>
      </c>
      <c r="D19" s="37">
        <f>CoulterSurvival!I41</f>
        <v>0.18439716312056736</v>
      </c>
      <c r="E19" s="37">
        <f>CoulterSurvival!J41</f>
        <v>0.3520100898200341</v>
      </c>
    </row>
    <row r="20" spans="1:5" ht="12.75">
      <c r="A20" s="20">
        <v>8</v>
      </c>
      <c r="B20" s="46" t="e">
        <f>MediumActivity!J20</f>
        <v>#DIV/0!</v>
      </c>
      <c r="C20" s="46" t="e">
        <f>CellSuspension!J20/(CoulterSurvival!F20*Parameters!$B$14)*1000000</f>
        <v>#DIV/0!</v>
      </c>
      <c r="D20" s="37" t="e">
        <f>CoulterSurvival!I42</f>
        <v>#DIV/0!</v>
      </c>
      <c r="E20" s="37" t="e">
        <f>CoulterSurvival!J42</f>
        <v>#DIV/0!</v>
      </c>
    </row>
    <row r="21" spans="1:5" ht="12.75">
      <c r="A21" s="20">
        <v>9</v>
      </c>
      <c r="B21" s="46" t="e">
        <f>MediumActivity!J21</f>
        <v>#DIV/0!</v>
      </c>
      <c r="C21" s="46" t="e">
        <f>CellSuspension!J21/(CoulterSurvival!F21*Parameters!$B$14)*1000000</f>
        <v>#DIV/0!</v>
      </c>
      <c r="D21" s="37" t="e">
        <f>CoulterSurvival!I43</f>
        <v>#DIV/0!</v>
      </c>
      <c r="E21" s="37" t="e">
        <f>CoulterSurvival!J43</f>
        <v>#DIV/0!</v>
      </c>
    </row>
    <row r="22" spans="1:5" ht="12.75">
      <c r="A22" s="20">
        <v>10</v>
      </c>
      <c r="B22" s="46" t="e">
        <f>MediumActivity!J22</f>
        <v>#DIV/0!</v>
      </c>
      <c r="C22" s="46" t="e">
        <f>CellSuspension!J22/(CoulterSurvival!F22*Parameters!$B$14)*1000000</f>
        <v>#DIV/0!</v>
      </c>
      <c r="D22" s="37" t="e">
        <f>CoulterSurvival!I44</f>
        <v>#DIV/0!</v>
      </c>
      <c r="E22" s="37" t="e">
        <f>CoulterSurvival!J44</f>
        <v>#DIV/0!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Helene Z. Hill, Ph.D.</cp:lastModifiedBy>
  <cp:lastPrinted>2001-02-08T16:36:33Z</cp:lastPrinted>
  <dcterms:created xsi:type="dcterms:W3CDTF">2000-10-11T19:44:58Z</dcterms:created>
  <dcterms:modified xsi:type="dcterms:W3CDTF">2001-02-08T16:41:08Z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