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firstSheet="1" activeTab="5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</sheets>
  <definedNames/>
  <calcPr fullCalcOnLoad="1"/>
</workbook>
</file>

<file path=xl/sharedStrings.xml><?xml version="1.0" encoding="utf-8"?>
<sst xmlns="http://schemas.openxmlformats.org/spreadsheetml/2006/main" count="154" uniqueCount="101">
  <si>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</si>
  <si>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</si>
  <si>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</si>
  <si>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</si>
  <si>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</si>
  <si>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</si>
  <si>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</si>
  <si>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</si>
  <si>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</si>
  <si>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</si>
  <si>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</si>
  <si>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</si>
  <si>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</si>
  <si>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</si>
  <si>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</si>
  <si>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</si>
  <si>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</si>
  <si>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</si>
  <si>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</si>
  <si>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</si>
  <si>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</si>
  <si>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</si>
  <si>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</si>
  <si>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</si>
  <si>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</si>
  <si>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</si>
  <si>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</si>
  <si>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</si>
  <si>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</si>
  <si>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</si>
  <si>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</si>
  <si>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</si>
  <si>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</si>
  <si>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</si>
  <si>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</si>
  <si>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</si>
  <si>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</si>
  <si>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</si>
  <si>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</si>
  <si>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</si>
  <si>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</si>
  <si>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</si>
  <si>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</si>
  <si>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</si>
  <si>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</si>
  <si>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</si>
  <si>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</si>
  <si>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</si>
  <si>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</si>
  <si>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</si>
  <si>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</si>
  <si>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</si>
  <si>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</si>
  <si>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</si>
  <si>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</si>
  <si>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</si>
  <si>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</si>
  <si>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</si>
  <si>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</si>
  <si>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</si>
  <si>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</si>
  <si>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</si>
  <si>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</si>
  <si>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</si>
  <si>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</si>
  <si>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</si>
  <si>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</si>
  <si>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</si>
  <si>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</si>
  <si>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</si>
  <si>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</si>
  <si>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</si>
  <si>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</si>
  <si>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</si>
  <si>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</si>
  <si>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</si>
  <si>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</si>
  <si>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</si>
  <si>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</si>
  <si>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</si>
  <si>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</si>
  <si>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</si>
  <si>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</si>
  <si>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</si>
  <si>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</si>
  <si>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</si>
  <si>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</si>
  <si>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</si>
  <si>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</si>
  <si>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</si>
  <si>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None</t>
  </si>
  <si>
    <t>H-3</t>
  </si>
  <si>
    <t>3HTdR</t>
  </si>
  <si>
    <t>Ecolume</t>
  </si>
  <si>
    <t>11/28/2000 / 19:00</t>
  </si>
  <si>
    <t>Beckman LS5000</t>
  </si>
  <si>
    <t>7/Scintilation vials with cups</t>
  </si>
  <si>
    <t>M.Lenarczyk</t>
  </si>
  <si>
    <t>ML-Nov., 28, 2000</t>
  </si>
  <si>
    <t>NCN/</t>
  </si>
  <si>
    <t>AL-H / AL-N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</si>
</sst>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7547398"/>
        <c:axId val="25273399"/>
      </c:scatterChart>
      <c:valAx>
        <c:axId val="4754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73399"/>
        <c:crossesAt val="0.001"/>
        <c:crossBetween val="midCat"/>
        <c:dispUnits/>
      </c:valAx>
      <c:valAx>
        <c:axId val="2527339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5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6134000"/>
        <c:axId val="33879409"/>
      </c:scatterChart>
      <c:valAx>
        <c:axId val="2613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79409"/>
        <c:crosses val="autoZero"/>
        <c:crossBetween val="midCat"/>
        <c:dispUnits/>
      </c:valAx>
      <c:valAx>
        <c:axId val="33879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340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2.8315236493566274</c:v>
                </c:pt>
                <c:pt idx="3">
                  <c:v>5.179846073912641</c:v>
                </c:pt>
                <c:pt idx="4">
                  <c:v>0</c:v>
                </c:pt>
                <c:pt idx="5">
                  <c:v>12.002048567963747</c:v>
                </c:pt>
                <c:pt idx="6">
                  <c:v>16.09775505110089</c:v>
                </c:pt>
                <c:pt idx="7">
                  <c:v>17.229171297242765</c:v>
                </c:pt>
                <c:pt idx="8">
                  <c:v>24.336970832349024</c:v>
                </c:pt>
                <c:pt idx="9">
                  <c:v>33.053497943841634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0.6609195402298851</c:v>
                </c:pt>
                <c:pt idx="3">
                  <c:v>0.6800766283524906</c:v>
                </c:pt>
                <c:pt idx="4">
                  <c:v>0</c:v>
                </c:pt>
                <c:pt idx="5">
                  <c:v>0.6609195402298851</c:v>
                </c:pt>
                <c:pt idx="6">
                  <c:v>0.5842911877394636</c:v>
                </c:pt>
                <c:pt idx="7">
                  <c:v>0.8045977011494253</c:v>
                </c:pt>
                <c:pt idx="8">
                  <c:v>0.46934865900383144</c:v>
                </c:pt>
                <c:pt idx="9">
                  <c:v>0.5651340996168583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2.8315236493566274</c:v>
                </c:pt>
                <c:pt idx="3">
                  <c:v>5.179846073912641</c:v>
                </c:pt>
                <c:pt idx="4">
                  <c:v>0</c:v>
                </c:pt>
                <c:pt idx="5">
                  <c:v>12.002048567963747</c:v>
                </c:pt>
                <c:pt idx="6">
                  <c:v>16.09775505110089</c:v>
                </c:pt>
                <c:pt idx="7">
                  <c:v>17.229171297242765</c:v>
                </c:pt>
                <c:pt idx="8">
                  <c:v>24.336970832349024</c:v>
                </c:pt>
                <c:pt idx="9">
                  <c:v>33.053497943841634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0.7342989343461575</c:v>
                </c:pt>
                <c:pt idx="3">
                  <c:v>0.8546395762363468</c:v>
                </c:pt>
                <c:pt idx="4">
                  <c:v>0</c:v>
                </c:pt>
                <c:pt idx="5">
                  <c:v>0.823883016945761</c:v>
                </c:pt>
                <c:pt idx="6">
                  <c:v>0.7381938458654645</c:v>
                </c:pt>
                <c:pt idx="7">
                  <c:v>0.891623305477054</c:v>
                </c:pt>
                <c:pt idx="8">
                  <c:v>0.6166317557095793</c:v>
                </c:pt>
                <c:pt idx="9">
                  <c:v>0.7116127021754246</c:v>
                </c:pt>
              </c:numCache>
            </c:numRef>
          </c:yVal>
          <c:smooth val="0"/>
        </c:ser>
        <c:axId val="36479226"/>
        <c:axId val="59877579"/>
      </c:scatterChart>
      <c:valAx>
        <c:axId val="3647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77579"/>
        <c:crossesAt val="0.001"/>
        <c:crossBetween val="midCat"/>
        <c:dispUnits/>
      </c:valAx>
      <c:valAx>
        <c:axId val="5987757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79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25"/>
          <c:y val="0.5805"/>
          <c:w val="0.289"/>
          <c:h val="0.16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53.4741402284308</c:v>
                </c:pt>
                <c:pt idx="3">
                  <c:v>91.91713918691315</c:v>
                </c:pt>
                <c:pt idx="4">
                  <c:v>0</c:v>
                </c:pt>
                <c:pt idx="5">
                  <c:v>188.57753106906728</c:v>
                </c:pt>
                <c:pt idx="6">
                  <c:v>232.65160916255914</c:v>
                </c:pt>
                <c:pt idx="7">
                  <c:v>271.8657504303904</c:v>
                </c:pt>
                <c:pt idx="8">
                  <c:v>366.25493849281565</c:v>
                </c:pt>
                <c:pt idx="9">
                  <c:v>481.93712596351753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2.8315236493566274</c:v>
                </c:pt>
                <c:pt idx="3">
                  <c:v>5.179846073912641</c:v>
                </c:pt>
                <c:pt idx="4">
                  <c:v>0</c:v>
                </c:pt>
                <c:pt idx="5">
                  <c:v>12.002048567963747</c:v>
                </c:pt>
                <c:pt idx="6">
                  <c:v>16.09775505110089</c:v>
                </c:pt>
                <c:pt idx="7">
                  <c:v>17.229171297242765</c:v>
                </c:pt>
                <c:pt idx="8">
                  <c:v>24.336970832349024</c:v>
                </c:pt>
                <c:pt idx="9">
                  <c:v>33.053497943841634</c:v>
                </c:pt>
              </c:numCache>
            </c:numRef>
          </c:yVal>
          <c:smooth val="0"/>
        </c:ser>
        <c:axId val="2027300"/>
        <c:axId val="18245701"/>
      </c:scatterChart>
      <c:valAx>
        <c:axId val="2027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245701"/>
        <c:crosses val="autoZero"/>
        <c:crossBetween val="midCat"/>
        <c:dispUnits/>
      </c:valAx>
      <c:valAx>
        <c:axId val="18245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7300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6" sqref="B6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>
        <v>36858</v>
      </c>
    </row>
    <row r="2" ht="12.75">
      <c r="B2" s="61"/>
    </row>
    <row r="3" spans="1:2" ht="12.75">
      <c r="A3" s="24" t="s">
        <v>15</v>
      </c>
      <c r="B3" s="49" t="s">
        <v>98</v>
      </c>
    </row>
    <row r="4" spans="1:3" ht="12.75">
      <c r="A4" s="24" t="s">
        <v>16</v>
      </c>
      <c r="B4" s="50" t="s">
        <v>97</v>
      </c>
      <c r="C4" s="20"/>
    </row>
    <row r="5" spans="1:2" ht="12.75">
      <c r="A5" s="24" t="s">
        <v>17</v>
      </c>
      <c r="B5" s="50" t="s">
        <v>100</v>
      </c>
    </row>
    <row r="6" spans="1:2" ht="12.75">
      <c r="A6" s="24" t="s">
        <v>81</v>
      </c>
      <c r="B6" s="50" t="s">
        <v>90</v>
      </c>
    </row>
    <row r="7" spans="1:2" ht="12.75">
      <c r="A7" s="24" t="s">
        <v>21</v>
      </c>
      <c r="B7" s="50" t="s">
        <v>91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92</v>
      </c>
    </row>
    <row r="11" spans="1:2" ht="12.75">
      <c r="A11" s="24" t="s">
        <v>19</v>
      </c>
      <c r="B11" s="50" t="s">
        <v>99</v>
      </c>
    </row>
    <row r="12" spans="1:4" ht="12.75">
      <c r="A12" s="24" t="s">
        <v>27</v>
      </c>
      <c r="B12" s="52">
        <v>36836.5</v>
      </c>
      <c r="C12" s="20" t="s">
        <v>25</v>
      </c>
      <c r="D12" s="56">
        <v>37</v>
      </c>
    </row>
    <row r="13" spans="1:4" ht="12.75">
      <c r="A13" s="24" t="s">
        <v>28</v>
      </c>
      <c r="B13" s="52">
        <v>36858</v>
      </c>
      <c r="C13" s="20" t="s">
        <v>89</v>
      </c>
      <c r="D13" s="57">
        <v>22</v>
      </c>
    </row>
    <row r="14" spans="1:4" ht="12.75">
      <c r="A14" s="24" t="s">
        <v>83</v>
      </c>
      <c r="B14" s="51">
        <v>0.5</v>
      </c>
      <c r="C14" s="20" t="s">
        <v>26</v>
      </c>
      <c r="D14" s="47">
        <f>$D$12*EXP(-0.693*$D$13/($B$8))</f>
        <v>36.87486860540377</v>
      </c>
    </row>
    <row r="15" ht="12.75">
      <c r="B15" s="61"/>
    </row>
    <row r="16" spans="1:2" ht="12.75">
      <c r="A16" s="24" t="s">
        <v>35</v>
      </c>
      <c r="B16" s="49" t="s">
        <v>93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96</v>
      </c>
    </row>
    <row r="19" spans="1:2" ht="12.75">
      <c r="A19" s="24" t="s">
        <v>36</v>
      </c>
      <c r="B19" s="50" t="s">
        <v>95</v>
      </c>
    </row>
    <row r="20" spans="1:2" ht="12.75">
      <c r="A20" s="24" t="s">
        <v>37</v>
      </c>
      <c r="B20" s="51">
        <v>0.65</v>
      </c>
    </row>
    <row r="21" ht="12.75">
      <c r="B21" s="61"/>
    </row>
    <row r="22" spans="1:2" ht="12.75">
      <c r="A22" s="24" t="s">
        <v>23</v>
      </c>
      <c r="B22" s="65" t="s">
        <v>94</v>
      </c>
    </row>
    <row r="23" spans="1:4" ht="12.75">
      <c r="A23" s="24" t="s">
        <v>24</v>
      </c>
      <c r="B23" s="52">
        <v>36859.583333333336</v>
      </c>
      <c r="C23" s="20" t="s">
        <v>29</v>
      </c>
      <c r="D23" s="27">
        <v>19</v>
      </c>
    </row>
    <row r="24" spans="1:4" ht="12.75">
      <c r="A24" s="24" t="s">
        <v>69</v>
      </c>
      <c r="B24" s="52">
        <v>36867.69652777778</v>
      </c>
      <c r="C24" s="20" t="s">
        <v>30</v>
      </c>
      <c r="D24" s="27">
        <v>213.75</v>
      </c>
    </row>
    <row r="25" spans="1:4" ht="12.75">
      <c r="A25" s="24" t="s">
        <v>70</v>
      </c>
      <c r="B25" s="52">
        <v>36867.69652777778</v>
      </c>
      <c r="C25" s="20" t="s">
        <v>71</v>
      </c>
      <c r="D25" s="27">
        <v>194.75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1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0">
        <f>AVERAGE(D32:F32)</f>
        <v>9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3">
        <v>9</v>
      </c>
      <c r="E32" s="54">
        <v>9</v>
      </c>
      <c r="F32" s="55">
        <v>9</v>
      </c>
    </row>
    <row r="33" spans="1:2" ht="12.75">
      <c r="A33" s="24" t="s">
        <v>84</v>
      </c>
      <c r="B33" s="64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B17" sqref="B17:D17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ML-Nov., 28, 2000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>
        <f>Parameters!$B$1</f>
        <v>36858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17</v>
      </c>
      <c r="C13" s="28">
        <v>16</v>
      </c>
      <c r="D13" s="28">
        <v>25</v>
      </c>
      <c r="E13" s="34">
        <f>AVERAGE(B13:D13,B14:D14)</f>
        <v>19.333333333333332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25</v>
      </c>
      <c r="C14" s="28">
        <v>18</v>
      </c>
      <c r="D14" s="28">
        <v>15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62185</v>
      </c>
      <c r="C15" s="29">
        <v>63390</v>
      </c>
      <c r="D15" s="29">
        <v>61920</v>
      </c>
      <c r="E15" s="35">
        <f>AVERAGE(B15:D15)</f>
        <v>62498.333333333336</v>
      </c>
      <c r="F15" s="36">
        <f>(E15-E13)</f>
        <v>62479</v>
      </c>
      <c r="G15" s="35">
        <f>F15/(Parameters!$B$9*Parameters!$B$20)</f>
        <v>96121.53846153845</v>
      </c>
      <c r="H15" s="37">
        <f>G15/(37000*60*Parameters!$B$26/1000)</f>
        <v>1.443266343266343</v>
      </c>
      <c r="I15" s="37">
        <f>H15/EXP(-0.693*Parameters!$D$24/(Parameters!$B$8*24))</f>
        <v>1.4452470332008325</v>
      </c>
      <c r="J15" s="37">
        <f>I15*37</f>
        <v>53.4741402284308</v>
      </c>
      <c r="O15" s="2"/>
      <c r="P15" s="9"/>
      <c r="Q15" s="2"/>
      <c r="R15" s="1"/>
    </row>
    <row r="16" spans="1:18" ht="12.75">
      <c r="A16" s="20">
        <v>4</v>
      </c>
      <c r="B16" s="29">
        <v>101993</v>
      </c>
      <c r="C16" s="29">
        <v>109746</v>
      </c>
      <c r="D16" s="29">
        <v>110506</v>
      </c>
      <c r="E16" s="35">
        <f aca="true" t="shared" si="0" ref="E16:E22">AVERAGE(B16:D16)</f>
        <v>107415</v>
      </c>
      <c r="F16" s="36">
        <f>E16-E13</f>
        <v>107395.66666666667</v>
      </c>
      <c r="G16" s="35">
        <f>F16/(Parameters!$B$9*Parameters!$B$20)</f>
        <v>165224.10256410256</v>
      </c>
      <c r="H16" s="37">
        <f>G16/(37000*60*Parameters!$B$26/1000)</f>
        <v>2.4808423808423807</v>
      </c>
      <c r="I16" s="37">
        <f>H16/EXP(-0.693*Parameters!$D$24/(Parameters!$B$8*24))</f>
        <v>2.4842470050517065</v>
      </c>
      <c r="J16" s="37">
        <f aca="true" t="shared" si="1" ref="J16:J22">I16*37</f>
        <v>91.91713918691315</v>
      </c>
      <c r="O16" s="2"/>
      <c r="P16" s="9"/>
      <c r="Q16" s="2"/>
      <c r="R16" s="1"/>
    </row>
    <row r="17" spans="1:18" ht="12.75">
      <c r="A17" s="20">
        <v>5</v>
      </c>
      <c r="B17" s="29"/>
      <c r="C17" s="29"/>
      <c r="D17" s="29"/>
      <c r="E17" s="35" t="e">
        <f t="shared" si="0"/>
        <v>#DIV/0!</v>
      </c>
      <c r="F17" s="36" t="e">
        <f>E17-E13</f>
        <v>#DIV/0!</v>
      </c>
      <c r="G17" s="35" t="e">
        <f>F17/(Parameters!$B$9*Parameters!$B$20)</f>
        <v>#DIV/0!</v>
      </c>
      <c r="H17" s="37" t="e">
        <f>G17/(37000*60*Parameters!$B$26/1000)</f>
        <v>#DIV/0!</v>
      </c>
      <c r="I17" s="37" t="e">
        <f>H17/EXP(-0.693*Parameters!$D$24/(Parameters!$B$8*24))</f>
        <v>#DIV/0!</v>
      </c>
      <c r="J17" s="37" t="e">
        <f t="shared" si="1"/>
        <v>#DIV/0!</v>
      </c>
      <c r="O17" s="2"/>
      <c r="P17" s="9"/>
      <c r="Q17" s="2"/>
      <c r="R17" s="1"/>
    </row>
    <row r="18" spans="1:18" ht="12.75">
      <c r="A18" s="20">
        <v>6</v>
      </c>
      <c r="B18" s="29">
        <v>219099</v>
      </c>
      <c r="C18" s="29">
        <v>219506</v>
      </c>
      <c r="D18" s="29">
        <v>222453</v>
      </c>
      <c r="E18" s="35">
        <f t="shared" si="0"/>
        <v>220352.66666666666</v>
      </c>
      <c r="F18" s="36">
        <f>E18-E13</f>
        <v>220333.3333333333</v>
      </c>
      <c r="G18" s="35">
        <f>F18/(Parameters!$B$9*Parameters!$B$20)</f>
        <v>338974.35897435894</v>
      </c>
      <c r="H18" s="37">
        <f>G18/(37000*60*Parameters!$B$26/1000)</f>
        <v>5.089705089705089</v>
      </c>
      <c r="I18" s="37">
        <f>H18/EXP(-0.693*Parameters!$D$24/(Parameters!$B$8*24))</f>
        <v>5.09669002889371</v>
      </c>
      <c r="J18" s="37">
        <f t="shared" si="1"/>
        <v>188.57753106906728</v>
      </c>
      <c r="O18" s="2"/>
      <c r="P18" s="9"/>
      <c r="Q18" s="2"/>
      <c r="R18" s="1"/>
    </row>
    <row r="19" spans="1:18" ht="12.75">
      <c r="A19" s="20">
        <v>7</v>
      </c>
      <c r="B19" s="29">
        <v>253246</v>
      </c>
      <c r="C19" s="29">
        <v>291940</v>
      </c>
      <c r="D19" s="29">
        <v>270360</v>
      </c>
      <c r="E19" s="35">
        <f t="shared" si="0"/>
        <v>271848.6666666667</v>
      </c>
      <c r="F19" s="36">
        <f>E19-E13</f>
        <v>271829.3333333334</v>
      </c>
      <c r="G19" s="35">
        <f>F19/(Parameters!$B$9*Parameters!$B$20)</f>
        <v>418198.97435897443</v>
      </c>
      <c r="H19" s="37">
        <f>G19/(37000*60*Parameters!$B$26/1000)</f>
        <v>6.279263879263881</v>
      </c>
      <c r="I19" s="37">
        <f>H19/EXP(-0.693*Parameters!$D$24/(Parameters!$B$8*24))</f>
        <v>6.287881328717814</v>
      </c>
      <c r="J19" s="37">
        <f t="shared" si="1"/>
        <v>232.65160916255914</v>
      </c>
      <c r="O19" s="2"/>
      <c r="P19" s="9"/>
      <c r="Q19" s="2"/>
      <c r="R19" s="1"/>
    </row>
    <row r="20" spans="1:18" ht="12.75">
      <c r="A20" s="20">
        <v>8</v>
      </c>
      <c r="B20" s="29">
        <v>306093</v>
      </c>
      <c r="C20" s="29">
        <v>331680</v>
      </c>
      <c r="D20" s="29">
        <v>315226</v>
      </c>
      <c r="E20" s="35">
        <f t="shared" si="0"/>
        <v>317666.3333333333</v>
      </c>
      <c r="F20" s="36">
        <f>E20-E13</f>
        <v>317647</v>
      </c>
      <c r="G20" s="35">
        <f>F20/(Parameters!$B$9*Parameters!$B$20)</f>
        <v>488687.6923076923</v>
      </c>
      <c r="H20" s="37">
        <f>G20/(37000*60*Parameters!$B$26/1000)</f>
        <v>7.337653037653038</v>
      </c>
      <c r="I20" s="37">
        <f>H20/EXP(-0.693*Parameters!$D$24/(Parameters!$B$8*24))</f>
        <v>7.347722984605146</v>
      </c>
      <c r="J20" s="37">
        <f t="shared" si="1"/>
        <v>271.8657504303904</v>
      </c>
      <c r="O20" s="2"/>
      <c r="P20" s="9"/>
      <c r="Q20" s="2"/>
      <c r="R20" s="1"/>
    </row>
    <row r="21" spans="1:18" ht="12.75">
      <c r="A21" s="20">
        <v>9</v>
      </c>
      <c r="B21" s="29">
        <v>416559</v>
      </c>
      <c r="C21" s="29">
        <v>420919</v>
      </c>
      <c r="D21" s="29">
        <v>446373</v>
      </c>
      <c r="E21" s="35">
        <f t="shared" si="0"/>
        <v>427950.3333333333</v>
      </c>
      <c r="F21" s="36">
        <f>E21-E13</f>
        <v>427931</v>
      </c>
      <c r="G21" s="35">
        <f>F21/(Parameters!$B$9*Parameters!$B$20)</f>
        <v>658355.3846153846</v>
      </c>
      <c r="H21" s="37">
        <f>G21/(37000*60*Parameters!$B$26/1000)</f>
        <v>9.885215985215986</v>
      </c>
      <c r="I21" s="37">
        <f>H21/EXP(-0.693*Parameters!$D$24/(Parameters!$B$8*24))</f>
        <v>9.89878212142745</v>
      </c>
      <c r="J21" s="37">
        <f t="shared" si="1"/>
        <v>366.25493849281565</v>
      </c>
      <c r="O21" s="2"/>
      <c r="P21" s="9"/>
      <c r="Q21" s="2"/>
      <c r="R21" s="1"/>
    </row>
    <row r="22" spans="1:18" ht="12.75">
      <c r="A22" s="20">
        <v>10</v>
      </c>
      <c r="B22" s="29">
        <v>539833</v>
      </c>
      <c r="C22" s="29">
        <v>582726</v>
      </c>
      <c r="D22" s="29">
        <v>566780</v>
      </c>
      <c r="E22" s="35">
        <f t="shared" si="0"/>
        <v>563113</v>
      </c>
      <c r="F22" s="36">
        <f>E22-E13</f>
        <v>563093.6666666666</v>
      </c>
      <c r="G22" s="35">
        <f>F22/(Parameters!$B$9*Parameters!$B$20)</f>
        <v>866297.9487179486</v>
      </c>
      <c r="H22" s="37">
        <f>G22/(37000*60*Parameters!$B$26/1000)</f>
        <v>13.007476707476707</v>
      </c>
      <c r="I22" s="37">
        <f>H22/EXP(-0.693*Parameters!$D$24/(Parameters!$B$8*24))</f>
        <v>13.025327728743717</v>
      </c>
      <c r="J22" s="37">
        <f t="shared" si="1"/>
        <v>481.93712596351753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D17" sqref="D17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ML-Nov., 28, 2000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>
        <f>Parameters!$B$1</f>
        <v>36858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7</v>
      </c>
      <c r="C13" s="28">
        <v>6</v>
      </c>
      <c r="D13" s="28">
        <v>6</v>
      </c>
      <c r="E13" s="34">
        <f>AVERAGE(B13:D14)</f>
        <v>8</v>
      </c>
      <c r="F13" s="34">
        <v>0</v>
      </c>
      <c r="G13" s="40">
        <v>0</v>
      </c>
      <c r="H13" s="41">
        <v>0</v>
      </c>
      <c r="I13" s="40">
        <v>0</v>
      </c>
      <c r="J13" s="58">
        <f>I13*37</f>
        <v>0</v>
      </c>
    </row>
    <row r="14" spans="1:10" ht="12.75">
      <c r="A14" s="33">
        <v>2</v>
      </c>
      <c r="B14" s="28">
        <v>10</v>
      </c>
      <c r="C14" s="28">
        <v>11</v>
      </c>
      <c r="D14" s="28">
        <v>8</v>
      </c>
      <c r="E14" s="34"/>
      <c r="F14" s="34">
        <v>0</v>
      </c>
      <c r="G14" s="40">
        <v>0</v>
      </c>
      <c r="H14" s="41">
        <v>0</v>
      </c>
      <c r="I14" s="40">
        <v>0</v>
      </c>
      <c r="J14" s="58">
        <f aca="true" t="shared" si="0" ref="J14:J22">I14*37</f>
        <v>0</v>
      </c>
    </row>
    <row r="15" spans="1:10" ht="12.75">
      <c r="A15" s="20">
        <v>3</v>
      </c>
      <c r="B15" s="29">
        <v>6717</v>
      </c>
      <c r="C15" s="29">
        <v>6188</v>
      </c>
      <c r="D15" s="29">
        <v>5884</v>
      </c>
      <c r="E15" s="35">
        <f aca="true" t="shared" si="1" ref="E15:E22">AVERAGE(B15:D15)</f>
        <v>6263</v>
      </c>
      <c r="F15" s="35">
        <f>E15-$E$13</f>
        <v>6255</v>
      </c>
      <c r="G15" s="35">
        <f>F15/(Parameters!$B$9*Parameters!$B$20)</f>
        <v>9623.076923076922</v>
      </c>
      <c r="H15" s="42">
        <f>G15/(37000*60*Parameters!$B$27/1000)</f>
        <v>0.04334719334719334</v>
      </c>
      <c r="I15" s="42">
        <f>H15/EXP(-0.693*(Parameters!$D$25)/(Parameters!$B$8*24))</f>
        <v>0.04340139042356184</v>
      </c>
      <c r="J15" s="37">
        <f t="shared" si="0"/>
        <v>1.6058514456717883</v>
      </c>
    </row>
    <row r="16" spans="1:10" ht="12.75">
      <c r="A16" s="20">
        <v>4</v>
      </c>
      <c r="B16" s="29">
        <v>9810</v>
      </c>
      <c r="C16" s="29">
        <v>10015</v>
      </c>
      <c r="D16" s="29">
        <v>10548</v>
      </c>
      <c r="E16" s="35">
        <f t="shared" si="1"/>
        <v>10124.333333333334</v>
      </c>
      <c r="F16" s="35">
        <f aca="true" t="shared" si="2" ref="F16:F22">E16-$E$13</f>
        <v>10116.333333333334</v>
      </c>
      <c r="G16" s="35">
        <f>F16/(Parameters!$B$9*Parameters!$B$20)</f>
        <v>15563.589743589744</v>
      </c>
      <c r="H16" s="42">
        <f>G16/(37000*60*Parameters!$B$27/1000)</f>
        <v>0.07010626010626012</v>
      </c>
      <c r="I16" s="42">
        <f>H16/EXP(-0.693*(Parameters!$D$25)/(Parameters!$B$8*24))</f>
        <v>0.07019391409350806</v>
      </c>
      <c r="J16" s="37">
        <f t="shared" si="0"/>
        <v>2.5971748214597983</v>
      </c>
    </row>
    <row r="17" spans="1:10" ht="12.75">
      <c r="A17" s="20">
        <v>5</v>
      </c>
      <c r="B17" s="29"/>
      <c r="C17" s="29"/>
      <c r="D17" s="29"/>
      <c r="E17" s="35" t="e">
        <f t="shared" si="1"/>
        <v>#DIV/0!</v>
      </c>
      <c r="F17" s="35" t="e">
        <f t="shared" si="2"/>
        <v>#DIV/0!</v>
      </c>
      <c r="G17" s="35" t="e">
        <f>F17/(Parameters!$B$9*Parameters!$B$20)</f>
        <v>#DIV/0!</v>
      </c>
      <c r="H17" s="42" t="e">
        <f>G17/(37000*60*Parameters!$B$27/1000)</f>
        <v>#DIV/0!</v>
      </c>
      <c r="I17" s="42" t="e">
        <f>H17/EXP(-0.693*(Parameters!$D$25)/(Parameters!$B$8*24))</f>
        <v>#DIV/0!</v>
      </c>
      <c r="J17" s="37" t="e">
        <f t="shared" si="0"/>
        <v>#DIV/0!</v>
      </c>
    </row>
    <row r="18" spans="1:10" ht="12.75">
      <c r="A18" s="20">
        <v>6</v>
      </c>
      <c r="B18" s="29">
        <v>23462</v>
      </c>
      <c r="C18" s="29">
        <v>25307</v>
      </c>
      <c r="D18" s="29">
        <v>22146</v>
      </c>
      <c r="E18" s="35">
        <f t="shared" si="1"/>
        <v>23638.333333333332</v>
      </c>
      <c r="F18" s="35">
        <f t="shared" si="2"/>
        <v>23630.333333333332</v>
      </c>
      <c r="G18" s="35">
        <f>F18/(Parameters!$B$9*Parameters!$B$20)</f>
        <v>36354.35897435897</v>
      </c>
      <c r="H18" s="42">
        <f>G18/(37000*60*Parameters!$B$27/1000)</f>
        <v>0.16375837375837374</v>
      </c>
      <c r="I18" s="42">
        <f>H18/EXP(-0.693*(Parameters!$D$25)/(Parameters!$B$8*24))</f>
        <v>0.16396312115729936</v>
      </c>
      <c r="J18" s="37">
        <f t="shared" si="0"/>
        <v>6.066635482820076</v>
      </c>
    </row>
    <row r="19" spans="1:10" ht="12.75">
      <c r="A19" s="20">
        <v>7</v>
      </c>
      <c r="B19" s="29">
        <v>33836</v>
      </c>
      <c r="C19" s="29">
        <v>29442</v>
      </c>
      <c r="D19" s="29">
        <v>30562</v>
      </c>
      <c r="E19" s="35">
        <f t="shared" si="1"/>
        <v>31280</v>
      </c>
      <c r="F19" s="35">
        <f t="shared" si="2"/>
        <v>31272</v>
      </c>
      <c r="G19" s="35">
        <f>F19/(Parameters!$B$9*Parameters!$B$20)</f>
        <v>48110.76923076923</v>
      </c>
      <c r="H19" s="42">
        <f>G19/(37000*60*Parameters!$B$27/1000)</f>
        <v>0.2167151767151767</v>
      </c>
      <c r="I19" s="42">
        <f>H19/EXP(-0.693*(Parameters!$D$25)/(Parameters!$B$8*24))</f>
        <v>0.2169861361032176</v>
      </c>
      <c r="J19" s="37">
        <f t="shared" si="0"/>
        <v>8.028487035819051</v>
      </c>
    </row>
    <row r="20" spans="1:10" ht="12.75">
      <c r="A20" s="20">
        <v>8</v>
      </c>
      <c r="B20" s="29">
        <v>36230</v>
      </c>
      <c r="C20" s="29">
        <v>38990</v>
      </c>
      <c r="D20" s="29">
        <v>39280</v>
      </c>
      <c r="E20" s="35">
        <f t="shared" si="1"/>
        <v>38166.666666666664</v>
      </c>
      <c r="F20" s="35">
        <f t="shared" si="2"/>
        <v>38158.666666666664</v>
      </c>
      <c r="G20" s="35">
        <f>F20/(Parameters!$B$9*Parameters!$B$20)</f>
        <v>58705.641025641016</v>
      </c>
      <c r="H20" s="42">
        <f>G20/(37000*60*Parameters!$B$27/1000)</f>
        <v>0.2644398244398244</v>
      </c>
      <c r="I20" s="42">
        <f>H20/EXP(-0.693*(Parameters!$D$25)/(Parameters!$B$8*24))</f>
        <v>0.26477045404357397</v>
      </c>
      <c r="J20" s="37">
        <f t="shared" si="0"/>
        <v>9.796506799612237</v>
      </c>
    </row>
    <row r="21" spans="1:10" ht="12.75">
      <c r="A21" s="20">
        <v>9</v>
      </c>
      <c r="B21" s="29">
        <v>40872</v>
      </c>
      <c r="C21" s="29">
        <v>45404</v>
      </c>
      <c r="D21" s="29">
        <v>50140</v>
      </c>
      <c r="E21" s="35">
        <f t="shared" si="1"/>
        <v>45472</v>
      </c>
      <c r="F21" s="35">
        <f t="shared" si="2"/>
        <v>45464</v>
      </c>
      <c r="G21" s="35">
        <f>F21/(Parameters!$B$9*Parameters!$B$20)</f>
        <v>69944.61538461538</v>
      </c>
      <c r="H21" s="42">
        <f>G21/(37000*60*Parameters!$B$27/1000)</f>
        <v>0.315065835065835</v>
      </c>
      <c r="I21" s="42">
        <f>H21/EXP(-0.693*(Parameters!$D$25)/(Parameters!$B$8*24))</f>
        <v>0.3154597624647187</v>
      </c>
      <c r="J21" s="37">
        <f t="shared" si="0"/>
        <v>11.672011211194592</v>
      </c>
    </row>
    <row r="22" spans="1:10" ht="12.75">
      <c r="A22" s="20">
        <v>10</v>
      </c>
      <c r="B22" s="29">
        <v>65060</v>
      </c>
      <c r="C22" s="29">
        <v>63575</v>
      </c>
      <c r="D22" s="29">
        <v>64665</v>
      </c>
      <c r="E22" s="35">
        <f t="shared" si="1"/>
        <v>64433.333333333336</v>
      </c>
      <c r="F22" s="35">
        <f t="shared" si="2"/>
        <v>64425.333333333336</v>
      </c>
      <c r="G22" s="35">
        <f>F22/(Parameters!$B$9*Parameters!$B$20)</f>
        <v>99115.89743589744</v>
      </c>
      <c r="H22" s="42">
        <f>G22/(37000*60*Parameters!$B$27/1000)</f>
        <v>0.4464680064680065</v>
      </c>
      <c r="I22" s="42">
        <f>H22/EXP(-0.693*(Parameters!$D$25)/(Parameters!$B$8*24))</f>
        <v>0.44702622624590144</v>
      </c>
      <c r="J22" s="37">
        <f t="shared" si="0"/>
        <v>16.539970371098352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1">
      <selection activeCell="C42" sqref="C42"/>
    </sheetView>
  </sheetViews>
  <sheetFormatPr defaultColWidth="9.140625" defaultRowHeight="12.75"/>
  <cols>
    <col min="1" max="1" width="6.57421875" style="62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2" t="s">
        <v>45</v>
      </c>
      <c r="B3" s="20"/>
      <c r="C3" s="20" t="str">
        <f>Parameters!$B$3</f>
        <v>ML-Nov., 28, 2000</v>
      </c>
      <c r="D3" s="20"/>
      <c r="E3" s="20"/>
      <c r="F3" s="20"/>
    </row>
    <row r="4" spans="1:6" ht="12.75">
      <c r="A4" s="62" t="s">
        <v>12</v>
      </c>
      <c r="B4" s="20"/>
      <c r="C4" s="43">
        <f>Parameters!$B$1</f>
        <v>36858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2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3">
        <v>1</v>
      </c>
      <c r="B13" s="28">
        <v>2787</v>
      </c>
      <c r="C13" s="28">
        <v>2883</v>
      </c>
      <c r="D13" s="28">
        <v>2891</v>
      </c>
      <c r="E13" s="34">
        <f>IF(Parameters!$B$33="Yes",AVERAGE(G13:J13),AVERAGE(B13:D13))</f>
        <v>2853.6666666666665</v>
      </c>
      <c r="F13" s="34">
        <f>IF(Parameters!$B$33="Yes",E13*10000,(E13-Parameters!$B$31)*Parameters!$B$32*(100/Parameters!$B$29)*(500/Parameters!$B$30))</f>
        <v>1137866.6666666665</v>
      </c>
      <c r="G13" s="26"/>
      <c r="H13" s="26"/>
      <c r="I13" s="26"/>
      <c r="J13" s="26"/>
    </row>
    <row r="14" spans="1:10" ht="12.75">
      <c r="A14" s="63">
        <v>2</v>
      </c>
      <c r="B14" s="28">
        <v>3399</v>
      </c>
      <c r="C14" s="28">
        <v>3472</v>
      </c>
      <c r="D14" s="28">
        <v>3525</v>
      </c>
      <c r="E14" s="34">
        <f>IF(Parameters!$B$33="Yes",AVERAGE(G14:J14),AVERAGE(B14:D14))</f>
        <v>3465.3333333333335</v>
      </c>
      <c r="F14" s="34">
        <f>IF(Parameters!$B$33="Yes",E14*10000,(E14-Parameters!$B$31)*Parameters!$B$32*(100/Parameters!$B$29)*(500/Parameters!$B$30))</f>
        <v>1382533.3333333335</v>
      </c>
      <c r="G14" s="26"/>
      <c r="H14" s="26"/>
      <c r="I14" s="26"/>
      <c r="J14" s="26"/>
    </row>
    <row r="15" spans="1:10" ht="12.75">
      <c r="A15" s="62">
        <v>3</v>
      </c>
      <c r="B15" s="29">
        <v>2859</v>
      </c>
      <c r="C15" s="29">
        <v>2780</v>
      </c>
      <c r="D15" s="29">
        <v>2895</v>
      </c>
      <c r="E15" s="35">
        <f>IF(Parameters!$B$33="Yes",AVERAGE(G15:J15),AVERAGE(B15:D15))</f>
        <v>2844.6666666666665</v>
      </c>
      <c r="F15" s="35">
        <f>IF(Parameters!$B$33="Yes",E15*10000,(E15-Parameters!$B$31)*Parameters!$B$32*(100/Parameters!$B$29)*(500/Parameters!$B$30))</f>
        <v>1134266.6666666665</v>
      </c>
      <c r="G15" s="26"/>
      <c r="H15" s="26"/>
      <c r="I15" s="26"/>
      <c r="J15" s="26"/>
    </row>
    <row r="16" spans="1:10" ht="12.75">
      <c r="A16" s="62">
        <v>4</v>
      </c>
      <c r="B16" s="29">
        <v>2529</v>
      </c>
      <c r="C16" s="29">
        <v>2486</v>
      </c>
      <c r="D16" s="29">
        <v>2533</v>
      </c>
      <c r="E16" s="35">
        <f>IF(Parameters!$B$33="Yes",AVERAGE(G16:J16),AVERAGE(B16:D16))</f>
        <v>2516</v>
      </c>
      <c r="F16" s="35">
        <f>IF(Parameters!$B$33="Yes",E16*10000,(E16-Parameters!$B$31)*Parameters!$B$32*(100/Parameters!$B$29)*(500/Parameters!$B$30))</f>
        <v>1002800</v>
      </c>
      <c r="G16" s="26"/>
      <c r="H16" s="26"/>
      <c r="I16" s="26"/>
      <c r="J16" s="26"/>
    </row>
    <row r="17" spans="1:10" ht="12.75">
      <c r="A17" s="62">
        <v>5</v>
      </c>
      <c r="B17" s="29">
        <v>3297</v>
      </c>
      <c r="C17" s="29">
        <v>3350</v>
      </c>
      <c r="D17" s="29">
        <v>3424</v>
      </c>
      <c r="E17" s="35">
        <f>IF(Parameters!$B$33="Yes",AVERAGE(G17:J17),AVERAGE(B17:D17))</f>
        <v>3357</v>
      </c>
      <c r="F17" s="35">
        <f>IF(Parameters!$B$33="Yes",E17*10000,(E17-Parameters!$B$31)*Parameters!$B$32*(100/Parameters!$B$29)*(500/Parameters!$B$30))</f>
        <v>1339200</v>
      </c>
      <c r="G17" s="26"/>
      <c r="H17" s="26"/>
      <c r="I17" s="26"/>
      <c r="J17" s="26"/>
    </row>
    <row r="18" spans="1:10" ht="12.75">
      <c r="A18" s="62">
        <v>6</v>
      </c>
      <c r="B18" s="29">
        <v>2509</v>
      </c>
      <c r="C18" s="29">
        <v>2574</v>
      </c>
      <c r="D18" s="29">
        <v>2526</v>
      </c>
      <c r="E18" s="35">
        <f>IF(Parameters!$B$33="Yes",AVERAGE(G18:J18),AVERAGE(B18:D18))</f>
        <v>2536.3333333333335</v>
      </c>
      <c r="F18" s="35">
        <f>IF(Parameters!$B$33="Yes",E18*10000,(E18-Parameters!$B$31)*Parameters!$B$32*(100/Parameters!$B$29)*(500/Parameters!$B$30))</f>
        <v>1010933.3333333334</v>
      </c>
      <c r="G18" s="26"/>
      <c r="H18" s="26"/>
      <c r="I18" s="26"/>
      <c r="J18" s="26"/>
    </row>
    <row r="19" spans="1:10" ht="12.75">
      <c r="A19" s="62">
        <v>7</v>
      </c>
      <c r="B19" s="29">
        <v>2448</v>
      </c>
      <c r="C19" s="29">
        <v>2564</v>
      </c>
      <c r="D19" s="29">
        <v>2496</v>
      </c>
      <c r="E19" s="35">
        <f>IF(Parameters!$B$33="Yes",AVERAGE(G19:J19),AVERAGE(B19:D19))</f>
        <v>2502.6666666666665</v>
      </c>
      <c r="F19" s="35">
        <f>IF(Parameters!$B$33="Yes",E19*10000,(E19-Parameters!$B$31)*Parameters!$B$32*(100/Parameters!$B$29)*(500/Parameters!$B$30))</f>
        <v>997466.6666666666</v>
      </c>
      <c r="G19" s="26"/>
      <c r="H19" s="26"/>
      <c r="I19" s="26"/>
      <c r="J19" s="26"/>
    </row>
    <row r="20" spans="1:10" ht="12.75">
      <c r="A20" s="62">
        <v>8</v>
      </c>
      <c r="B20" s="29">
        <v>2829</v>
      </c>
      <c r="C20" s="29">
        <v>2832</v>
      </c>
      <c r="D20" s="29">
        <v>2895</v>
      </c>
      <c r="E20" s="35">
        <f>IF(Parameters!$B$33="Yes",AVERAGE(G20:J20),AVERAGE(B20:D20))</f>
        <v>2852</v>
      </c>
      <c r="F20" s="35">
        <f>IF(Parameters!$B$33="Yes",E20*10000,(E20-Parameters!$B$31)*Parameters!$B$32*(100/Parameters!$B$29)*(500/Parameters!$B$30))</f>
        <v>1137200</v>
      </c>
      <c r="G20" s="26"/>
      <c r="H20" s="26"/>
      <c r="I20" s="26"/>
      <c r="J20" s="26"/>
    </row>
    <row r="21" spans="1:10" ht="12.75">
      <c r="A21" s="62">
        <v>9</v>
      </c>
      <c r="B21" s="29">
        <v>2491</v>
      </c>
      <c r="C21" s="29">
        <v>2386</v>
      </c>
      <c r="D21" s="29">
        <v>2344</v>
      </c>
      <c r="E21" s="35">
        <f>IF(Parameters!$B$33="Yes",AVERAGE(G21:J21),AVERAGE(B21:D21))</f>
        <v>2407</v>
      </c>
      <c r="F21" s="35">
        <f>IF(Parameters!$B$33="Yes",E21*10000,(E21-Parameters!$B$31)*Parameters!$B$32*(100/Parameters!$B$29)*(500/Parameters!$B$30))</f>
        <v>959200</v>
      </c>
      <c r="G21" s="26"/>
      <c r="H21" s="26"/>
      <c r="I21" s="26"/>
      <c r="J21" s="26"/>
    </row>
    <row r="22" spans="1:10" ht="12.75">
      <c r="A22" s="62">
        <v>10</v>
      </c>
      <c r="B22" s="29">
        <v>2639</v>
      </c>
      <c r="C22" s="29">
        <v>2399</v>
      </c>
      <c r="D22" s="29">
        <v>2495</v>
      </c>
      <c r="E22" s="35">
        <f>IF(Parameters!$B$33="Yes",AVERAGE(G22:J22),AVERAGE(B22:D22))</f>
        <v>2511</v>
      </c>
      <c r="F22" s="35">
        <f>IF(Parameters!$B$33="Yes",E22*10000,(E22-Parameters!$B$31)*Parameters!$B$32*(100/Parameters!$B$29)*(500/Parameters!$B$30))</f>
        <v>1000800</v>
      </c>
      <c r="G22" s="26"/>
      <c r="H22" s="26"/>
      <c r="I22" s="26"/>
      <c r="J22" s="26"/>
    </row>
    <row r="29" spans="1:10" ht="12.75">
      <c r="A29" s="62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3">
        <v>1</v>
      </c>
      <c r="B35" s="26">
        <v>200</v>
      </c>
      <c r="C35" s="34">
        <f>F13/(10000*200/B35)</f>
        <v>113.78666666666665</v>
      </c>
      <c r="D35" s="28">
        <v>55</v>
      </c>
      <c r="E35" s="28">
        <v>25</v>
      </c>
      <c r="F35" s="28"/>
      <c r="G35" s="34">
        <f>AVERAGE(D35:F36)</f>
        <v>34.8</v>
      </c>
      <c r="H35" s="44">
        <f>G35/C35*100</f>
        <v>30.583548160299976</v>
      </c>
      <c r="I35" s="59">
        <f>G35*200/B35/$G$35</f>
        <v>1</v>
      </c>
      <c r="J35" s="58">
        <f>(G35/AVERAGE(C35:C36))/($G$35/AVERAGE($C$35,$C$36))</f>
        <v>1</v>
      </c>
    </row>
    <row r="36" spans="1:10" ht="12.75">
      <c r="A36" s="63">
        <v>2</v>
      </c>
      <c r="B36" s="26">
        <v>200</v>
      </c>
      <c r="C36" s="34">
        <f aca="true" t="shared" si="0" ref="C36:C44">F14/(10000*200/B36)</f>
        <v>138.25333333333336</v>
      </c>
      <c r="D36" s="28">
        <v>32</v>
      </c>
      <c r="E36" s="28">
        <v>34</v>
      </c>
      <c r="F36" s="28">
        <v>28</v>
      </c>
      <c r="G36" s="34"/>
      <c r="H36" s="44"/>
      <c r="I36" s="45"/>
      <c r="J36" s="37"/>
    </row>
    <row r="37" spans="1:10" ht="12.75">
      <c r="A37" s="62">
        <v>3</v>
      </c>
      <c r="B37" s="26">
        <v>200</v>
      </c>
      <c r="C37" s="35">
        <f t="shared" si="0"/>
        <v>113.42666666666665</v>
      </c>
      <c r="D37" s="26">
        <v>30</v>
      </c>
      <c r="E37" s="29">
        <v>17</v>
      </c>
      <c r="F37" s="29">
        <v>22</v>
      </c>
      <c r="G37" s="35">
        <f aca="true" t="shared" si="1" ref="G37:G44">AVERAGE(D37:F37)</f>
        <v>23</v>
      </c>
      <c r="H37" s="46">
        <f aca="true" t="shared" si="2" ref="H37:H44">G37/C37*100</f>
        <v>20.277418596449987</v>
      </c>
      <c r="I37" s="37">
        <f aca="true" t="shared" si="3" ref="I37:I44">G37*200/B37/$G$35</f>
        <v>0.6609195402298851</v>
      </c>
      <c r="J37" s="37">
        <f>(G37/C37)/($G$35/AVERAGE($C$35,$C$36))</f>
        <v>0.7342989343461575</v>
      </c>
    </row>
    <row r="38" spans="1:10" ht="12.75">
      <c r="A38" s="62">
        <v>4</v>
      </c>
      <c r="B38" s="26">
        <v>200</v>
      </c>
      <c r="C38" s="35">
        <f t="shared" si="0"/>
        <v>100.28</v>
      </c>
      <c r="D38" s="29">
        <v>24</v>
      </c>
      <c r="E38" s="29">
        <v>22</v>
      </c>
      <c r="F38" s="29">
        <v>25</v>
      </c>
      <c r="G38" s="35">
        <f t="shared" si="1"/>
        <v>23.666666666666668</v>
      </c>
      <c r="H38" s="46">
        <f t="shared" si="2"/>
        <v>23.600585028586625</v>
      </c>
      <c r="I38" s="37">
        <f t="shared" si="3"/>
        <v>0.6800766283524906</v>
      </c>
      <c r="J38" s="37">
        <f aca="true" t="shared" si="4" ref="J38:J44">(G38/C38)/($G$35/AVERAGE($C$35,$C$36))</f>
        <v>0.8546395762363468</v>
      </c>
    </row>
    <row r="39" spans="1:10" ht="12.75">
      <c r="A39" s="62">
        <v>5</v>
      </c>
      <c r="B39" s="26"/>
      <c r="C39" s="35" t="e">
        <f t="shared" si="0"/>
        <v>#DIV/0!</v>
      </c>
      <c r="D39" s="29"/>
      <c r="E39" s="29"/>
      <c r="F39" s="29"/>
      <c r="G39" s="35" t="e">
        <f t="shared" si="1"/>
        <v>#DIV/0!</v>
      </c>
      <c r="H39" s="46" t="e">
        <f t="shared" si="2"/>
        <v>#DIV/0!</v>
      </c>
      <c r="I39" s="37" t="e">
        <f t="shared" si="3"/>
        <v>#DIV/0!</v>
      </c>
      <c r="J39" s="37" t="e">
        <f t="shared" si="4"/>
        <v>#DIV/0!</v>
      </c>
    </row>
    <row r="40" spans="1:10" ht="12.75">
      <c r="A40" s="62">
        <v>6</v>
      </c>
      <c r="B40" s="26">
        <v>200</v>
      </c>
      <c r="C40" s="35">
        <f t="shared" si="0"/>
        <v>101.09333333333333</v>
      </c>
      <c r="D40" s="29">
        <v>24</v>
      </c>
      <c r="E40" s="29">
        <v>24</v>
      </c>
      <c r="F40" s="29">
        <v>21</v>
      </c>
      <c r="G40" s="35">
        <f t="shared" si="1"/>
        <v>23</v>
      </c>
      <c r="H40" s="46">
        <f t="shared" si="2"/>
        <v>22.751252967554734</v>
      </c>
      <c r="I40" s="37">
        <f t="shared" si="3"/>
        <v>0.6609195402298851</v>
      </c>
      <c r="J40" s="37">
        <f t="shared" si="4"/>
        <v>0.823883016945761</v>
      </c>
    </row>
    <row r="41" spans="1:10" ht="12.75">
      <c r="A41" s="62">
        <v>7</v>
      </c>
      <c r="B41" s="26">
        <v>200</v>
      </c>
      <c r="C41" s="35">
        <f t="shared" si="0"/>
        <v>99.74666666666667</v>
      </c>
      <c r="D41" s="29">
        <v>19</v>
      </c>
      <c r="E41" s="29">
        <v>23</v>
      </c>
      <c r="F41" s="29">
        <v>19</v>
      </c>
      <c r="G41" s="35">
        <f t="shared" si="1"/>
        <v>20.333333333333332</v>
      </c>
      <c r="H41" s="46">
        <f t="shared" si="2"/>
        <v>20.384975270685736</v>
      </c>
      <c r="I41" s="37">
        <f t="shared" si="3"/>
        <v>0.5842911877394636</v>
      </c>
      <c r="J41" s="37">
        <f t="shared" si="4"/>
        <v>0.7381938458654645</v>
      </c>
    </row>
    <row r="42" spans="1:10" ht="12.75">
      <c r="A42" s="62">
        <v>8</v>
      </c>
      <c r="B42" s="26">
        <v>200</v>
      </c>
      <c r="C42" s="35">
        <f t="shared" si="0"/>
        <v>113.72</v>
      </c>
      <c r="D42" s="29">
        <v>27</v>
      </c>
      <c r="E42" s="29">
        <v>28</v>
      </c>
      <c r="F42" s="29">
        <v>29</v>
      </c>
      <c r="G42" s="35">
        <f t="shared" si="1"/>
        <v>28</v>
      </c>
      <c r="H42" s="46">
        <f t="shared" si="2"/>
        <v>24.621878297572984</v>
      </c>
      <c r="I42" s="37">
        <f t="shared" si="3"/>
        <v>0.8045977011494253</v>
      </c>
      <c r="J42" s="37">
        <f t="shared" si="4"/>
        <v>0.891623305477054</v>
      </c>
    </row>
    <row r="43" spans="1:10" ht="12.75">
      <c r="A43" s="62">
        <v>9</v>
      </c>
      <c r="B43" s="26">
        <v>200</v>
      </c>
      <c r="C43" s="35">
        <f t="shared" si="0"/>
        <v>95.92</v>
      </c>
      <c r="D43" s="29">
        <v>19</v>
      </c>
      <c r="E43" s="29">
        <v>16</v>
      </c>
      <c r="F43" s="29">
        <v>14</v>
      </c>
      <c r="G43" s="35">
        <f t="shared" si="1"/>
        <v>16.333333333333332</v>
      </c>
      <c r="H43" s="46">
        <f t="shared" si="2"/>
        <v>17.02807895468446</v>
      </c>
      <c r="I43" s="37">
        <f t="shared" si="3"/>
        <v>0.46934865900383144</v>
      </c>
      <c r="J43" s="37">
        <f t="shared" si="4"/>
        <v>0.6166317557095793</v>
      </c>
    </row>
    <row r="44" spans="1:10" ht="12.75">
      <c r="A44" s="62">
        <v>10</v>
      </c>
      <c r="B44" s="26">
        <v>200</v>
      </c>
      <c r="C44" s="35">
        <f t="shared" si="0"/>
        <v>100.08</v>
      </c>
      <c r="D44" s="29">
        <v>19</v>
      </c>
      <c r="E44" s="29">
        <v>24</v>
      </c>
      <c r="F44" s="29">
        <v>16</v>
      </c>
      <c r="G44" s="35">
        <f t="shared" si="1"/>
        <v>19.666666666666668</v>
      </c>
      <c r="H44" s="46">
        <f t="shared" si="2"/>
        <v>19.650945909938716</v>
      </c>
      <c r="I44" s="37">
        <f t="shared" si="3"/>
        <v>0.5651340996168583</v>
      </c>
      <c r="J44" s="37">
        <f t="shared" si="4"/>
        <v>0.7116127021754246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D1">
      <selection activeCell="F29" sqref="F29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36858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53.4741402284308</v>
      </c>
      <c r="C15" s="46">
        <f>CellSuspension!J15/(CoulterSurvival!F15*Parameters!$B$14)*1000000</f>
        <v>2.8315236493566274</v>
      </c>
      <c r="D15" s="37">
        <f>CoulterSurvival!I37</f>
        <v>0.6609195402298851</v>
      </c>
      <c r="E15" s="37">
        <f>CoulterSurvival!J37</f>
        <v>0.7342989343461575</v>
      </c>
    </row>
    <row r="16" spans="1:5" ht="12.75">
      <c r="A16" s="20">
        <v>4</v>
      </c>
      <c r="B16" s="46">
        <f>MediumActivity!J16</f>
        <v>91.91713918691315</v>
      </c>
      <c r="C16" s="46">
        <f>CellSuspension!J16/(CoulterSurvival!F16*Parameters!$B$14)*1000000</f>
        <v>5.179846073912641</v>
      </c>
      <c r="D16" s="37">
        <f>CoulterSurvival!I38</f>
        <v>0.6800766283524906</v>
      </c>
      <c r="E16" s="37">
        <f>CoulterSurvival!J38</f>
        <v>0.8546395762363468</v>
      </c>
    </row>
    <row r="17" spans="1:5" ht="12.75">
      <c r="A17" s="20">
        <v>5</v>
      </c>
      <c r="B17" s="46" t="e">
        <f>MediumActivity!J17</f>
        <v>#DIV/0!</v>
      </c>
      <c r="C17" s="46" t="e">
        <f>CellSuspension!J17/(CoulterSurvival!F17*Parameters!$B$14)*1000000</f>
        <v>#DIV/0!</v>
      </c>
      <c r="D17" s="37" t="e">
        <f>CoulterSurvival!I39</f>
        <v>#DIV/0!</v>
      </c>
      <c r="E17" s="37" t="e">
        <f>CoulterSurvival!J39</f>
        <v>#DIV/0!</v>
      </c>
    </row>
    <row r="18" spans="1:5" ht="12.75">
      <c r="A18" s="20">
        <v>6</v>
      </c>
      <c r="B18" s="46">
        <f>MediumActivity!J18</f>
        <v>188.57753106906728</v>
      </c>
      <c r="C18" s="46">
        <f>CellSuspension!J18/(CoulterSurvival!F18*Parameters!$B$14)*1000000</f>
        <v>12.002048567963747</v>
      </c>
      <c r="D18" s="37">
        <f>CoulterSurvival!I40</f>
        <v>0.6609195402298851</v>
      </c>
      <c r="E18" s="37">
        <f>CoulterSurvival!J40</f>
        <v>0.823883016945761</v>
      </c>
    </row>
    <row r="19" spans="1:5" ht="12.75">
      <c r="A19" s="20">
        <v>7</v>
      </c>
      <c r="B19" s="46">
        <f>MediumActivity!J19</f>
        <v>232.65160916255914</v>
      </c>
      <c r="C19" s="46">
        <f>CellSuspension!J19/(CoulterSurvival!F19*Parameters!$B$14)*1000000</f>
        <v>16.09775505110089</v>
      </c>
      <c r="D19" s="37">
        <f>CoulterSurvival!I41</f>
        <v>0.5842911877394636</v>
      </c>
      <c r="E19" s="37">
        <f>CoulterSurvival!J41</f>
        <v>0.7381938458654645</v>
      </c>
    </row>
    <row r="20" spans="1:5" ht="12.75">
      <c r="A20" s="20">
        <v>8</v>
      </c>
      <c r="B20" s="46">
        <f>MediumActivity!J20</f>
        <v>271.8657504303904</v>
      </c>
      <c r="C20" s="46">
        <f>CellSuspension!J20/(CoulterSurvival!F20*Parameters!$B$14)*1000000</f>
        <v>17.229171297242765</v>
      </c>
      <c r="D20" s="37">
        <f>CoulterSurvival!I42</f>
        <v>0.8045977011494253</v>
      </c>
      <c r="E20" s="37">
        <f>CoulterSurvival!J42</f>
        <v>0.891623305477054</v>
      </c>
    </row>
    <row r="21" spans="1:5" ht="12.75">
      <c r="A21" s="20">
        <v>9</v>
      </c>
      <c r="B21" s="46">
        <f>MediumActivity!J21</f>
        <v>366.25493849281565</v>
      </c>
      <c r="C21" s="46">
        <f>CellSuspension!J21/(CoulterSurvival!F21*Parameters!$B$14)*1000000</f>
        <v>24.336970832349024</v>
      </c>
      <c r="D21" s="37">
        <f>CoulterSurvival!I43</f>
        <v>0.46934865900383144</v>
      </c>
      <c r="E21" s="37">
        <f>CoulterSurvival!J43</f>
        <v>0.6166317557095793</v>
      </c>
    </row>
    <row r="22" spans="1:5" ht="12.75">
      <c r="A22" s="20">
        <v>10</v>
      </c>
      <c r="B22" s="46">
        <f>MediumActivity!J22</f>
        <v>481.93712596351753</v>
      </c>
      <c r="C22" s="46">
        <f>CellSuspension!J22/(CoulterSurvival!F22*Parameters!$B$14)*1000000</f>
        <v>33.053497943841634</v>
      </c>
      <c r="D22" s="37">
        <f>CoulterSurvival!I44</f>
        <v>0.5651340996168583</v>
      </c>
      <c r="E22" s="37">
        <f>CoulterSurvival!J44</f>
        <v>0.7116127021754246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B1">
      <selection activeCell="B5" sqref="B5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36858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53.4741402284308</v>
      </c>
      <c r="C15" s="46">
        <f>CellSuspension!J15/(CoulterSurvival!F15*Parameters!$B$14)*1000000</f>
        <v>2.8315236493566274</v>
      </c>
      <c r="D15" s="37">
        <f>CoulterSurvival!I37</f>
        <v>0.6609195402298851</v>
      </c>
      <c r="E15" s="37">
        <f>CoulterSurvival!J37</f>
        <v>0.7342989343461575</v>
      </c>
    </row>
    <row r="16" spans="1:5" ht="12.75">
      <c r="A16" s="20">
        <v>4</v>
      </c>
      <c r="B16" s="46">
        <f>MediumActivity!J16</f>
        <v>91.91713918691315</v>
      </c>
      <c r="C16" s="46">
        <f>CellSuspension!J16/(CoulterSurvival!F16*Parameters!$B$14)*1000000</f>
        <v>5.179846073912641</v>
      </c>
      <c r="D16" s="37">
        <f>CoulterSurvival!I38</f>
        <v>0.6800766283524906</v>
      </c>
      <c r="E16" s="37">
        <f>CoulterSurvival!J38</f>
        <v>0.8546395762363468</v>
      </c>
    </row>
    <row r="17" spans="1:5" ht="12.75">
      <c r="A17" s="20">
        <v>5</v>
      </c>
      <c r="B17" s="46" t="e">
        <f>MediumActivity!J17</f>
        <v>#DIV/0!</v>
      </c>
      <c r="C17" s="46" t="e">
        <f>CellSuspension!J17/(CoulterSurvival!F17*Parameters!$B$14)*1000000</f>
        <v>#DIV/0!</v>
      </c>
      <c r="D17" s="37" t="e">
        <f>CoulterSurvival!I39</f>
        <v>#DIV/0!</v>
      </c>
      <c r="E17" s="37" t="e">
        <f>CoulterSurvival!J39</f>
        <v>#DIV/0!</v>
      </c>
    </row>
    <row r="18" spans="1:5" ht="12.75">
      <c r="A18" s="20">
        <v>6</v>
      </c>
      <c r="B18" s="46">
        <f>MediumActivity!J18</f>
        <v>188.57753106906728</v>
      </c>
      <c r="C18" s="46">
        <f>CellSuspension!J18/(CoulterSurvival!F18*Parameters!$B$14)*1000000</f>
        <v>12.002048567963747</v>
      </c>
      <c r="D18" s="37">
        <f>CoulterSurvival!I40</f>
        <v>0.6609195402298851</v>
      </c>
      <c r="E18" s="37">
        <f>CoulterSurvival!J40</f>
        <v>0.823883016945761</v>
      </c>
    </row>
    <row r="19" spans="1:5" ht="12.75">
      <c r="A19" s="20">
        <v>7</v>
      </c>
      <c r="B19" s="46">
        <f>MediumActivity!J19</f>
        <v>232.65160916255914</v>
      </c>
      <c r="C19" s="46">
        <f>CellSuspension!J19/(CoulterSurvival!F19*Parameters!$B$14)*1000000</f>
        <v>16.09775505110089</v>
      </c>
      <c r="D19" s="37">
        <f>CoulterSurvival!I41</f>
        <v>0.5842911877394636</v>
      </c>
      <c r="E19" s="37">
        <f>CoulterSurvival!J41</f>
        <v>0.7381938458654645</v>
      </c>
    </row>
    <row r="20" spans="1:5" ht="12.75">
      <c r="A20" s="20">
        <v>8</v>
      </c>
      <c r="B20" s="46">
        <f>MediumActivity!J20</f>
        <v>271.8657504303904</v>
      </c>
      <c r="C20" s="46">
        <f>CellSuspension!J20/(CoulterSurvival!F20*Parameters!$B$14)*1000000</f>
        <v>17.229171297242765</v>
      </c>
      <c r="D20" s="37">
        <f>CoulterSurvival!I42</f>
        <v>0.8045977011494253</v>
      </c>
      <c r="E20" s="37">
        <f>CoulterSurvival!J42</f>
        <v>0.891623305477054</v>
      </c>
    </row>
    <row r="21" spans="1:5" ht="12.75">
      <c r="A21" s="20">
        <v>9</v>
      </c>
      <c r="B21" s="46">
        <f>MediumActivity!J21</f>
        <v>366.25493849281565</v>
      </c>
      <c r="C21" s="46">
        <f>CellSuspension!J21/(CoulterSurvival!F21*Parameters!$B$14)*1000000</f>
        <v>24.336970832349024</v>
      </c>
      <c r="D21" s="37">
        <f>CoulterSurvival!I43</f>
        <v>0.46934865900383144</v>
      </c>
      <c r="E21" s="37">
        <f>CoulterSurvival!J43</f>
        <v>0.6166317557095793</v>
      </c>
    </row>
    <row r="22" spans="1:5" ht="12.75">
      <c r="A22" s="20">
        <v>10</v>
      </c>
      <c r="B22" s="46">
        <f>MediumActivity!J22</f>
        <v>481.93712596351753</v>
      </c>
      <c r="C22" s="46">
        <f>CellSuspension!J22/(CoulterSurvival!F22*Parameters!$B$14)*1000000</f>
        <v>33.053497943841634</v>
      </c>
      <c r="D22" s="37">
        <f>CoulterSurvival!I44</f>
        <v>0.5651340996168583</v>
      </c>
      <c r="E22" s="37">
        <f>CoulterSurvival!J44</f>
        <v>0.7116127021754246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2000-12-22T21:26:51Z</cp:lastPrinted>
  <dcterms:created xsi:type="dcterms:W3CDTF">2000-10-11T19:44:58Z</dcterms:created>
  <dcterms:modified xsi:type="dcterms:W3CDTF">2000-12-22T21:26:52Z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2.0</vt:lpwstr>
  </property>
</Properties>
</file>