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activeTab="0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</sheets>
  <definedNames/>
  <calcPr fullCalcOnLoad="1"/>
</workbook>
</file>

<file path=xl/sharedStrings.xml><?xml version="1.0" encoding="utf-8"?>
<sst xmlns="http://schemas.openxmlformats.org/spreadsheetml/2006/main" count="159" uniqueCount="105">
  <si>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</si>
  <si>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</si>
  <si>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</si>
  <si>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</si>
  <si>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</si>
  <si>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</si>
  <si>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</si>
  <si>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</si>
  <si>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</si>
  <si>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</si>
  <si>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</si>
  <si>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</si>
  <si>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</si>
  <si>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</si>
  <si>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</si>
  <si>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</si>
  <si>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</si>
  <si>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</si>
  <si>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</si>
  <si>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</si>
  <si>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</si>
  <si>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</si>
  <si>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</si>
  <si>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</si>
  <si>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</si>
  <si>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</si>
  <si>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</si>
  <si>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</si>
  <si>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</si>
  <si>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</si>
  <si>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</si>
  <si>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</si>
  <si>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</si>
  <si>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</si>
  <si>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</si>
  <si>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</si>
  <si>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</si>
  <si>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</si>
  <si>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</si>
  <si>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</si>
  <si>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</si>
  <si>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</si>
  <si>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</si>
  <si>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</si>
  <si>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</si>
  <si>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</si>
  <si>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</si>
  <si>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</si>
  <si>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</si>
  <si>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</si>
  <si>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</si>
  <si>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</si>
  <si>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</si>
  <si>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</si>
  <si>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</si>
  <si>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</si>
  <si>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</si>
  <si>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</si>
  <si>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</si>
  <si>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</si>
  <si>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</si>
  <si>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</si>
  <si>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</si>
  <si>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</si>
  <si>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</si>
  <si>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</si>
  <si>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</si>
  <si>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</si>
  <si>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</si>
  <si>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</si>
  <si>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</si>
  <si>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</si>
  <si>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</si>
  <si>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</si>
  <si>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</si>
  <si>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</si>
  <si>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</si>
  <si>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</si>
  <si>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</si>
  <si>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</si>
  <si>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</si>
  <si>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</si>
  <si>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</si>
  <si>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</si>
  <si>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</si>
  <si>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</si>
  <si>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</si>
  <si>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</si>
  <si>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</si>
  <si>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ML - Oct. 2, 2000</t>
  </si>
  <si>
    <t>M.lenarczyk</t>
  </si>
  <si>
    <t>V79</t>
  </si>
  <si>
    <t>None</t>
  </si>
  <si>
    <t>H-3</t>
  </si>
  <si>
    <t>3HTdR</t>
  </si>
  <si>
    <t>NCN/</t>
  </si>
  <si>
    <t>7/27/00 / 12:00</t>
  </si>
  <si>
    <t>EcoLume</t>
  </si>
  <si>
    <t>7 / Plastic vial with cup</t>
  </si>
  <si>
    <t>Beckman LS5000TD</t>
  </si>
  <si>
    <t>10/2/00 / 21:30</t>
  </si>
  <si>
    <t>10/3/00 / 13:40</t>
  </si>
  <si>
    <t>10/6/00 / 19:35</t>
  </si>
  <si>
    <t>No</t>
  </si>
  <si>
    <t>Time Elapsed Since Original Calibration (d)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</si>
</sst>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</numFmts>
  <fonts count="12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167" fontId="9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2" fontId="10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3" xfId="0" applyNumberFormat="1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845"/>
          <c:w val="0.8565"/>
          <c:h val="0.69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41322384"/>
        <c:axId val="320081"/>
      </c:scatterChart>
      <c:valAx>
        <c:axId val="4132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0081"/>
        <c:crossesAt val="0.001"/>
        <c:crossBetween val="midCat"/>
        <c:dispUnits/>
      </c:valAx>
      <c:valAx>
        <c:axId val="32008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413223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"/>
          <c:y val="0.25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4161054"/>
        <c:axId val="54093703"/>
      </c:scatterChart>
      <c:valAx>
        <c:axId val="416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out"/>
        <c:minorTickMark val="none"/>
        <c:tickLblPos val="nextTo"/>
        <c:crossAx val="54093703"/>
        <c:crosses val="autoZero"/>
        <c:crossBetween val="midCat"/>
        <c:dispUnits/>
      </c:valAx>
      <c:valAx>
        <c:axId val="54093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610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2275"/>
          <c:w val="0.85925"/>
          <c:h val="0.7762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0.001378924362330385</c:v>
                </c:pt>
                <c:pt idx="3">
                  <c:v>0.01791743872456616</c:v>
                </c:pt>
                <c:pt idx="4">
                  <c:v>0.04054666717176042</c:v>
                </c:pt>
                <c:pt idx="5">
                  <c:v>0.1003953979553247</c:v>
                </c:pt>
                <c:pt idx="6">
                  <c:v>0.2108165015937915</c:v>
                </c:pt>
                <c:pt idx="7">
                  <c:v>0.34930598193445556</c:v>
                </c:pt>
                <c:pt idx="8">
                  <c:v>0.44471663909623954</c:v>
                </c:pt>
                <c:pt idx="9">
                  <c:v>0.8134173732218571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1</c:v>
                </c:pt>
                <c:pt idx="2">
                  <c:v>1.3866666666666667</c:v>
                </c:pt>
                <c:pt idx="3">
                  <c:v>1.7244444444444447</c:v>
                </c:pt>
                <c:pt idx="4">
                  <c:v>0.6488888888888887</c:v>
                </c:pt>
                <c:pt idx="5">
                  <c:v>1.3155555555555558</c:v>
                </c:pt>
                <c:pt idx="6">
                  <c:v>1.1644444444444442</c:v>
                </c:pt>
                <c:pt idx="7">
                  <c:v>1.3066666666666666</c:v>
                </c:pt>
                <c:pt idx="8">
                  <c:v>1.0044444444444445</c:v>
                </c:pt>
                <c:pt idx="9">
                  <c:v>0.5155555555555555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0.001378924362330385</c:v>
                </c:pt>
                <c:pt idx="3">
                  <c:v>0.01791743872456616</c:v>
                </c:pt>
                <c:pt idx="4">
                  <c:v>0.04054666717176042</c:v>
                </c:pt>
                <c:pt idx="5">
                  <c:v>0.1003953979553247</c:v>
                </c:pt>
                <c:pt idx="6">
                  <c:v>0.2108165015937915</c:v>
                </c:pt>
                <c:pt idx="7">
                  <c:v>0.34930598193445556</c:v>
                </c:pt>
                <c:pt idx="8">
                  <c:v>0.44471663909623954</c:v>
                </c:pt>
                <c:pt idx="9">
                  <c:v>0.8134173732218571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1.2591643793839589</c:v>
                </c:pt>
                <c:pt idx="3">
                  <c:v>1.534987543597409</c:v>
                </c:pt>
                <c:pt idx="4">
                  <c:v>0.6192521367521366</c:v>
                </c:pt>
                <c:pt idx="5">
                  <c:v>1.434822954822955</c:v>
                </c:pt>
                <c:pt idx="6">
                  <c:v>1.7147049126277616</c:v>
                </c:pt>
                <c:pt idx="7">
                  <c:v>1.335599038791624</c:v>
                </c:pt>
                <c:pt idx="8">
                  <c:v>1.1039990156269226</c:v>
                </c:pt>
                <c:pt idx="9">
                  <c:v>0.49534258362912786</c:v>
                </c:pt>
              </c:numCache>
            </c:numRef>
          </c:yVal>
          <c:smooth val="0"/>
        </c:ser>
        <c:axId val="32129500"/>
        <c:axId val="15030317"/>
      </c:scatterChart>
      <c:valAx>
        <c:axId val="32129500"/>
        <c:scaling>
          <c:orientation val="minMax"/>
          <c:max val="0.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15030317"/>
        <c:crossesAt val="0.001"/>
        <c:crossBetween val="midCat"/>
        <c:dispUnits/>
        <c:majorUnit val="0.001"/>
      </c:valAx>
      <c:valAx>
        <c:axId val="1503031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crossAx val="32129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1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-0.002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75"/>
          <c:y val="0.1215"/>
          <c:w val="0.83525"/>
          <c:h val="0.7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0.13477166922224712</c:v>
                </c:pt>
                <c:pt idx="3">
                  <c:v>0.5749877980771558</c:v>
                </c:pt>
                <c:pt idx="4">
                  <c:v>1.2249120633962802</c:v>
                </c:pt>
                <c:pt idx="5">
                  <c:v>2.462930885321573</c:v>
                </c:pt>
                <c:pt idx="6">
                  <c:v>6.776194159499961</c:v>
                </c:pt>
                <c:pt idx="7">
                  <c:v>9.486728809206594</c:v>
                </c:pt>
                <c:pt idx="8">
                  <c:v>13.021279669041636</c:v>
                </c:pt>
                <c:pt idx="9">
                  <c:v>26.48676448040354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0.001378924362330385</c:v>
                </c:pt>
                <c:pt idx="3">
                  <c:v>0.01791743872456616</c:v>
                </c:pt>
                <c:pt idx="4">
                  <c:v>0.04054666717176042</c:v>
                </c:pt>
                <c:pt idx="5">
                  <c:v>0.1003953979553247</c:v>
                </c:pt>
                <c:pt idx="6">
                  <c:v>0.2108165015937915</c:v>
                </c:pt>
                <c:pt idx="7">
                  <c:v>0.34930598193445556</c:v>
                </c:pt>
                <c:pt idx="8">
                  <c:v>0.44471663909623954</c:v>
                </c:pt>
                <c:pt idx="9">
                  <c:v>0.8134173732218571</c:v>
                </c:pt>
              </c:numCache>
            </c:numRef>
          </c:yVal>
          <c:smooth val="0"/>
        </c:ser>
        <c:axId val="61176394"/>
        <c:axId val="57095619"/>
      </c:scatterChart>
      <c:valAx>
        <c:axId val="61176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out"/>
        <c:minorTickMark val="none"/>
        <c:tickLblPos val="nextTo"/>
        <c:crossAx val="57095619"/>
        <c:crosses val="autoZero"/>
        <c:crossBetween val="midCat"/>
        <c:dispUnits/>
      </c:valAx>
      <c:valAx>
        <c:axId val="5709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11763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12</xdr:col>
      <xdr:colOff>561975</xdr:colOff>
      <xdr:row>17</xdr:row>
      <xdr:rowOff>76200</xdr:rowOff>
    </xdr:to>
    <xdr:graphicFrame>
      <xdr:nvGraphicFramePr>
        <xdr:cNvPr id="1" name="Chart 2"/>
        <xdr:cNvGraphicFramePr/>
      </xdr:nvGraphicFramePr>
      <xdr:xfrm>
        <a:off x="4572000" y="161925"/>
        <a:ext cx="36099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18</xdr:row>
      <xdr:rowOff>38100</xdr:rowOff>
    </xdr:from>
    <xdr:to>
      <xdr:col>12</xdr:col>
      <xdr:colOff>552450</xdr:colOff>
      <xdr:row>33</xdr:row>
      <xdr:rowOff>152400</xdr:rowOff>
    </xdr:to>
    <xdr:graphicFrame>
      <xdr:nvGraphicFramePr>
        <xdr:cNvPr id="2" name="Chart 3"/>
        <xdr:cNvGraphicFramePr/>
      </xdr:nvGraphicFramePr>
      <xdr:xfrm>
        <a:off x="4562475" y="2952750"/>
        <a:ext cx="36099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22</xdr:row>
      <xdr:rowOff>85725</xdr:rowOff>
    </xdr:from>
    <xdr:to>
      <xdr:col>6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7675" y="3648075"/>
        <a:ext cx="36099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6</xdr:col>
      <xdr:colOff>85725</xdr:colOff>
      <xdr:row>50</xdr:row>
      <xdr:rowOff>95250</xdr:rowOff>
    </xdr:to>
    <xdr:graphicFrame>
      <xdr:nvGraphicFramePr>
        <xdr:cNvPr id="2" name="Chart 2"/>
        <xdr:cNvGraphicFramePr/>
      </xdr:nvGraphicFramePr>
      <xdr:xfrm>
        <a:off x="438150" y="5991225"/>
        <a:ext cx="36099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4">
      <selection activeCell="C2" sqref="C2"/>
    </sheetView>
  </sheetViews>
  <sheetFormatPr defaultColWidth="9.140625" defaultRowHeight="12.75"/>
  <cols>
    <col min="1" max="1" width="36.8515625" style="24" customWidth="1"/>
    <col min="2" max="2" width="22.00390625" style="22" customWidth="1"/>
    <col min="3" max="3" width="36.00390625" style="0" customWidth="1"/>
    <col min="4" max="4" width="9.57421875" style="0" bestFit="1" customWidth="1"/>
  </cols>
  <sheetData>
    <row r="1" spans="1:2" ht="12.75">
      <c r="A1" s="24" t="s">
        <v>20</v>
      </c>
      <c r="B1" s="48">
        <v>36801</v>
      </c>
    </row>
    <row r="2" ht="12.75">
      <c r="B2" s="62"/>
    </row>
    <row r="3" spans="1:2" ht="12.75">
      <c r="A3" s="24" t="s">
        <v>15</v>
      </c>
      <c r="B3" s="49" t="s">
        <v>89</v>
      </c>
    </row>
    <row r="4" spans="1:3" ht="12.75">
      <c r="A4" s="24" t="s">
        <v>16</v>
      </c>
      <c r="B4" s="50" t="s">
        <v>90</v>
      </c>
      <c r="C4" s="20"/>
    </row>
    <row r="5" spans="1:2" ht="12.75">
      <c r="A5" s="24" t="s">
        <v>17</v>
      </c>
      <c r="B5" s="50" t="s">
        <v>91</v>
      </c>
    </row>
    <row r="6" spans="1:2" ht="12.75">
      <c r="A6" s="24" t="s">
        <v>81</v>
      </c>
      <c r="B6" s="50" t="s">
        <v>92</v>
      </c>
    </row>
    <row r="7" spans="1:2" ht="12.75">
      <c r="A7" s="24" t="s">
        <v>21</v>
      </c>
      <c r="B7" s="50" t="s">
        <v>93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94</v>
      </c>
    </row>
    <row r="11" spans="1:2" ht="12.75">
      <c r="A11" s="24" t="s">
        <v>19</v>
      </c>
      <c r="B11" s="50" t="s">
        <v>95</v>
      </c>
    </row>
    <row r="12" spans="1:4" ht="12.75">
      <c r="A12" s="24" t="s">
        <v>27</v>
      </c>
      <c r="B12" s="53" t="s">
        <v>96</v>
      </c>
      <c r="C12" s="20" t="s">
        <v>25</v>
      </c>
      <c r="D12" s="57">
        <v>37.6</v>
      </c>
    </row>
    <row r="13" spans="1:4" ht="12.75">
      <c r="A13" s="24" t="s">
        <v>28</v>
      </c>
      <c r="B13" s="53" t="s">
        <v>100</v>
      </c>
      <c r="C13" s="20" t="s">
        <v>104</v>
      </c>
      <c r="D13" s="58">
        <v>162</v>
      </c>
    </row>
    <row r="14" spans="1:4" ht="12.75">
      <c r="A14" s="24" t="s">
        <v>83</v>
      </c>
      <c r="B14" s="51">
        <v>1</v>
      </c>
      <c r="C14" s="20" t="s">
        <v>26</v>
      </c>
      <c r="D14" s="47">
        <f>$D$12*EXP(-0.693*$D$13/($B$8))</f>
        <v>36.673651151948604</v>
      </c>
    </row>
    <row r="15" ht="12.75">
      <c r="B15" s="62"/>
    </row>
    <row r="16" spans="1:2" ht="12.75">
      <c r="A16" s="24" t="s">
        <v>35</v>
      </c>
      <c r="B16" s="49" t="s">
        <v>97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98</v>
      </c>
    </row>
    <row r="19" spans="1:2" ht="12.75">
      <c r="A19" s="24" t="s">
        <v>36</v>
      </c>
      <c r="B19" s="50" t="s">
        <v>99</v>
      </c>
    </row>
    <row r="20" spans="1:2" ht="12.75">
      <c r="A20" s="24" t="s">
        <v>37</v>
      </c>
      <c r="B20" s="51">
        <v>0.65</v>
      </c>
    </row>
    <row r="21" ht="12.75">
      <c r="B21" s="62"/>
    </row>
    <row r="22" spans="1:2" ht="12.75">
      <c r="A22" s="24" t="s">
        <v>23</v>
      </c>
      <c r="B22" s="52" t="s">
        <v>100</v>
      </c>
    </row>
    <row r="23" spans="1:4" ht="12.75">
      <c r="A23" s="24" t="s">
        <v>24</v>
      </c>
      <c r="B23" s="53" t="s">
        <v>101</v>
      </c>
      <c r="C23" s="20" t="s">
        <v>29</v>
      </c>
      <c r="D23" s="27">
        <v>16.75</v>
      </c>
    </row>
    <row r="24" spans="1:4" ht="12.75">
      <c r="A24" s="24" t="s">
        <v>69</v>
      </c>
      <c r="B24" s="53">
        <v>36802.694444444445</v>
      </c>
      <c r="C24" s="20" t="s">
        <v>30</v>
      </c>
      <c r="D24" s="27">
        <v>16</v>
      </c>
    </row>
    <row r="25" spans="1:4" ht="12.75">
      <c r="A25" s="24" t="s">
        <v>70</v>
      </c>
      <c r="B25" s="53" t="s">
        <v>102</v>
      </c>
      <c r="C25" s="20" t="s">
        <v>71</v>
      </c>
      <c r="D25" s="27">
        <v>78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2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</v>
      </c>
      <c r="E30" s="20" t="s">
        <v>82</v>
      </c>
    </row>
    <row r="31" spans="1:6" ht="12.75">
      <c r="A31" s="24" t="s">
        <v>31</v>
      </c>
      <c r="B31" s="61">
        <f>AVERAGE(D32:F32)</f>
        <v>1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4">
        <v>1</v>
      </c>
      <c r="E32" s="55">
        <v>1</v>
      </c>
      <c r="F32" s="56">
        <v>1</v>
      </c>
    </row>
    <row r="33" spans="1:2" ht="12.75">
      <c r="A33" s="24" t="s">
        <v>84</v>
      </c>
      <c r="B33" s="65" t="s">
        <v>103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4820" topLeftCell="E1" activePane="topLeft" state="split"/>
      <selection pane="topLeft" activeCell="X116" sqref="X116:Y125"/>
      <selection pane="topRight" activeCell="J63" sqref="J63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ML - Oct. 2, 2000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>
        <f>Parameters!$B$1</f>
        <v>36801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21</v>
      </c>
      <c r="C13" s="28">
        <v>12</v>
      </c>
      <c r="D13" s="28">
        <v>12</v>
      </c>
      <c r="E13" s="34">
        <f>AVERAGE(B13:D13,B14:D14)</f>
        <v>14.333333333333334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12</v>
      </c>
      <c r="C14" s="28">
        <v>21</v>
      </c>
      <c r="D14" s="28">
        <v>8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29">
        <v>178</v>
      </c>
      <c r="C15" s="29">
        <v>173</v>
      </c>
      <c r="D15" s="29">
        <v>165</v>
      </c>
      <c r="E15" s="35">
        <f>AVERAGE(B15:D15)</f>
        <v>172</v>
      </c>
      <c r="F15" s="36">
        <f>(E15-E13)</f>
        <v>157.66666666666666</v>
      </c>
      <c r="G15" s="35">
        <f>F15/(Parameters!$B$9*Parameters!$B$20)</f>
        <v>242.56410256410254</v>
      </c>
      <c r="H15" s="37">
        <f>G15/(37000*60*Parameters!$B$26/1000)</f>
        <v>0.003642103642103642</v>
      </c>
      <c r="I15" s="37">
        <f>H15/EXP(-0.693*Parameters!$D$24/(Parameters!$B$8*24))</f>
        <v>0.0036424775465472197</v>
      </c>
      <c r="J15" s="37">
        <f>I15*37</f>
        <v>0.13477166922224712</v>
      </c>
      <c r="O15" s="2"/>
      <c r="P15" s="9"/>
      <c r="Q15" s="2"/>
      <c r="R15" s="1"/>
    </row>
    <row r="16" spans="1:18" ht="12.75">
      <c r="A16" s="20">
        <v>4</v>
      </c>
      <c r="B16" s="29">
        <v>703</v>
      </c>
      <c r="C16" s="29">
        <v>677</v>
      </c>
      <c r="D16" s="29">
        <v>681</v>
      </c>
      <c r="E16" s="35">
        <f aca="true" t="shared" si="0" ref="E16:E22">AVERAGE(B16:D16)</f>
        <v>687</v>
      </c>
      <c r="F16" s="36">
        <f>E16-E13</f>
        <v>672.6666666666666</v>
      </c>
      <c r="G16" s="35">
        <f>F16/(Parameters!$B$9*Parameters!$B$20)</f>
        <v>1034.8717948717947</v>
      </c>
      <c r="H16" s="37">
        <f>G16/(37000*60*Parameters!$B$26/1000)</f>
        <v>0.015538615538615536</v>
      </c>
      <c r="I16" s="37">
        <f>H16/EXP(-0.693*Parameters!$D$24/(Parameters!$B$8*24))</f>
        <v>0.015540210758842049</v>
      </c>
      <c r="J16" s="37">
        <f aca="true" t="shared" si="1" ref="J16:J22">I16*37</f>
        <v>0.5749877980771558</v>
      </c>
      <c r="O16" s="2"/>
      <c r="P16" s="9"/>
      <c r="Q16" s="2"/>
      <c r="R16" s="1"/>
    </row>
    <row r="17" spans="1:18" ht="12.75">
      <c r="A17" s="20">
        <v>5</v>
      </c>
      <c r="B17" s="29">
        <v>1428</v>
      </c>
      <c r="C17" s="29">
        <v>1410</v>
      </c>
      <c r="D17" s="29">
        <v>1504</v>
      </c>
      <c r="E17" s="35">
        <f t="shared" si="0"/>
        <v>1447.3333333333333</v>
      </c>
      <c r="F17" s="36">
        <f>E17-E13</f>
        <v>1433</v>
      </c>
      <c r="G17" s="35">
        <f>F17/(Parameters!$B$9*Parameters!$B$20)</f>
        <v>2204.6153846153848</v>
      </c>
      <c r="H17" s="37">
        <f>G17/(37000*60*Parameters!$B$26/1000)</f>
        <v>0.033102333102333105</v>
      </c>
      <c r="I17" s="37">
        <f>H17/EXP(-0.693*Parameters!$D$24/(Parameters!$B$8*24))</f>
        <v>0.03310573144314271</v>
      </c>
      <c r="J17" s="37">
        <f t="shared" si="1"/>
        <v>1.2249120633962802</v>
      </c>
      <c r="O17" s="2"/>
      <c r="P17" s="9"/>
      <c r="Q17" s="2"/>
      <c r="R17" s="1"/>
    </row>
    <row r="18" spans="1:18" ht="12.75">
      <c r="A18" s="20">
        <v>6</v>
      </c>
      <c r="B18" s="29">
        <v>2851</v>
      </c>
      <c r="C18" s="29">
        <v>3039</v>
      </c>
      <c r="D18" s="29">
        <v>2797</v>
      </c>
      <c r="E18" s="35">
        <f t="shared" si="0"/>
        <v>2895.6666666666665</v>
      </c>
      <c r="F18" s="36">
        <f>E18-E13</f>
        <v>2881.333333333333</v>
      </c>
      <c r="G18" s="35">
        <f>F18/(Parameters!$B$9*Parameters!$B$20)</f>
        <v>4432.820512820512</v>
      </c>
      <c r="H18" s="37">
        <f>G18/(37000*60*Parameters!$B$26/1000)</f>
        <v>0.06655886655886654</v>
      </c>
      <c r="I18" s="37">
        <f>H18/EXP(-0.693*Parameters!$D$24/(Parameters!$B$8*24))</f>
        <v>0.06656569960328576</v>
      </c>
      <c r="J18" s="37">
        <f t="shared" si="1"/>
        <v>2.462930885321573</v>
      </c>
      <c r="O18" s="2"/>
      <c r="P18" s="9"/>
      <c r="Q18" s="2"/>
      <c r="R18" s="1"/>
    </row>
    <row r="19" spans="1:18" ht="12.75">
      <c r="A19" s="20">
        <v>7</v>
      </c>
      <c r="B19" s="29">
        <v>8024</v>
      </c>
      <c r="C19" s="29">
        <v>7942</v>
      </c>
      <c r="D19" s="29">
        <v>7859</v>
      </c>
      <c r="E19" s="35">
        <f t="shared" si="0"/>
        <v>7941.666666666667</v>
      </c>
      <c r="F19" s="36">
        <f>E19-E13</f>
        <v>7927.333333333334</v>
      </c>
      <c r="G19" s="35">
        <f>F19/(Parameters!$B$9*Parameters!$B$20)</f>
        <v>12195.897435897436</v>
      </c>
      <c r="H19" s="37">
        <f>G19/(37000*60*Parameters!$B$26/1000)</f>
        <v>0.1831215831215831</v>
      </c>
      <c r="I19" s="37">
        <f>H19/EXP(-0.693*Parameters!$D$24/(Parameters!$B$8*24))</f>
        <v>0.18314038268918814</v>
      </c>
      <c r="J19" s="37">
        <f t="shared" si="1"/>
        <v>6.776194159499961</v>
      </c>
      <c r="O19" s="2"/>
      <c r="P19" s="9"/>
      <c r="Q19" s="2"/>
      <c r="R19" s="1"/>
    </row>
    <row r="20" spans="1:18" ht="12.75">
      <c r="A20" s="20">
        <v>8</v>
      </c>
      <c r="B20" s="29">
        <v>11384</v>
      </c>
      <c r="C20" s="29">
        <v>10937</v>
      </c>
      <c r="D20" s="29">
        <v>11017</v>
      </c>
      <c r="E20" s="35">
        <f t="shared" si="0"/>
        <v>11112.666666666666</v>
      </c>
      <c r="F20" s="36">
        <f>E20-E13</f>
        <v>11098.333333333332</v>
      </c>
      <c r="G20" s="35">
        <f>F20/(Parameters!$B$9*Parameters!$B$20)</f>
        <v>17074.358974358973</v>
      </c>
      <c r="H20" s="37">
        <f>G20/(37000*60*Parameters!$B$26/1000)</f>
        <v>0.25637175637175635</v>
      </c>
      <c r="I20" s="37">
        <f>H20/EXP(-0.693*Parameters!$D$24/(Parameters!$B$8*24))</f>
        <v>0.25639807592450253</v>
      </c>
      <c r="J20" s="37">
        <f t="shared" si="1"/>
        <v>9.486728809206594</v>
      </c>
      <c r="O20" s="2"/>
      <c r="P20" s="9"/>
      <c r="Q20" s="2"/>
      <c r="R20" s="1"/>
    </row>
    <row r="21" spans="1:18" ht="12.75">
      <c r="A21" s="20">
        <v>9</v>
      </c>
      <c r="B21" s="29">
        <v>14500</v>
      </c>
      <c r="C21" s="29">
        <v>15835</v>
      </c>
      <c r="D21" s="29">
        <v>15408</v>
      </c>
      <c r="E21" s="35">
        <f t="shared" si="0"/>
        <v>15247.666666666666</v>
      </c>
      <c r="F21" s="36">
        <f>E21-E13</f>
        <v>15233.333333333332</v>
      </c>
      <c r="G21" s="35">
        <f>F21/(Parameters!$B$9*Parameters!$B$20)</f>
        <v>23435.897435897434</v>
      </c>
      <c r="H21" s="37">
        <f>G21/(37000*60*Parameters!$B$26/1000)</f>
        <v>0.35189035189035184</v>
      </c>
      <c r="I21" s="37">
        <f>H21/EXP(-0.693*Parameters!$D$24/(Parameters!$B$8*24))</f>
        <v>0.35192647754166584</v>
      </c>
      <c r="J21" s="37">
        <f t="shared" si="1"/>
        <v>13.021279669041636</v>
      </c>
      <c r="O21" s="2"/>
      <c r="P21" s="9"/>
      <c r="Q21" s="2"/>
      <c r="R21" s="1"/>
    </row>
    <row r="22" spans="1:18" ht="12.75">
      <c r="A22" s="20">
        <v>10</v>
      </c>
      <c r="B22" s="29">
        <v>31174</v>
      </c>
      <c r="C22" s="29">
        <v>30794</v>
      </c>
      <c r="D22" s="29">
        <v>31034</v>
      </c>
      <c r="E22" s="35">
        <f t="shared" si="0"/>
        <v>31000.666666666668</v>
      </c>
      <c r="F22" s="36">
        <f>E22-E13</f>
        <v>30986.333333333336</v>
      </c>
      <c r="G22" s="35">
        <f>F22/(Parameters!$B$9*Parameters!$B$20)</f>
        <v>47671.282051282054</v>
      </c>
      <c r="H22" s="37">
        <f>G22/(37000*60*Parameters!$B$26/1000)</f>
        <v>0.7157850157850159</v>
      </c>
      <c r="I22" s="37">
        <f>H22/EXP(-0.693*Parameters!$D$24/(Parameters!$B$8*24))</f>
        <v>0.715858499470366</v>
      </c>
      <c r="J22" s="37">
        <f t="shared" si="1"/>
        <v>26.48676448040354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J22" sqref="J22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ML - Oct. 2, 2000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>
        <f>Parameters!$B$1</f>
        <v>36801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10</v>
      </c>
      <c r="C13" s="28">
        <v>10</v>
      </c>
      <c r="D13" s="28">
        <v>12</v>
      </c>
      <c r="E13" s="34">
        <f>AVERAGE(B13:D14)</f>
        <v>12.833333333333334</v>
      </c>
      <c r="F13" s="34">
        <v>0</v>
      </c>
      <c r="G13" s="40">
        <v>0</v>
      </c>
      <c r="H13" s="41">
        <v>0</v>
      </c>
      <c r="I13" s="40">
        <v>0</v>
      </c>
      <c r="J13" s="59">
        <f>I13*37</f>
        <v>0</v>
      </c>
    </row>
    <row r="14" spans="1:10" ht="12.75">
      <c r="A14" s="33">
        <v>2</v>
      </c>
      <c r="B14" s="28">
        <v>9</v>
      </c>
      <c r="C14" s="28">
        <v>6</v>
      </c>
      <c r="D14" s="28">
        <v>30</v>
      </c>
      <c r="E14" s="34"/>
      <c r="F14" s="34">
        <v>0</v>
      </c>
      <c r="G14" s="40">
        <v>0</v>
      </c>
      <c r="H14" s="41">
        <v>0</v>
      </c>
      <c r="I14" s="40">
        <v>0</v>
      </c>
      <c r="J14" s="59">
        <f aca="true" t="shared" si="0" ref="J14:J22">I14*37</f>
        <v>0</v>
      </c>
    </row>
    <row r="15" spans="1:10" ht="12.75">
      <c r="A15" s="20">
        <v>3</v>
      </c>
      <c r="B15" s="29">
        <v>31</v>
      </c>
      <c r="C15" s="29">
        <v>24</v>
      </c>
      <c r="D15" s="29">
        <v>7</v>
      </c>
      <c r="E15" s="35">
        <f aca="true" t="shared" si="1" ref="E15:E22">AVERAGE(B15:D15)</f>
        <v>20.666666666666668</v>
      </c>
      <c r="F15" s="35">
        <f>E15-$E$13</f>
        <v>7.833333333333334</v>
      </c>
      <c r="G15" s="35">
        <f>F15/(Parameters!$B$9*Parameters!$B$20)</f>
        <v>12.051282051282051</v>
      </c>
      <c r="H15" s="42">
        <f>G15/(37000*60*Parameters!$B$27/1000)</f>
        <v>5.428505428505428E-05</v>
      </c>
      <c r="I15" s="42">
        <f>H15/EXP(-0.693*(Parameters!$D$25)/(Parameters!$B$8*24))</f>
        <v>5.431222803701298E-05</v>
      </c>
      <c r="J15" s="37">
        <f t="shared" si="0"/>
        <v>0.0020095524373694804</v>
      </c>
    </row>
    <row r="16" spans="1:10" ht="12.75">
      <c r="A16" s="20">
        <v>4</v>
      </c>
      <c r="B16" s="29">
        <v>130</v>
      </c>
      <c r="C16" s="29">
        <v>108</v>
      </c>
      <c r="D16" s="29">
        <v>112</v>
      </c>
      <c r="E16" s="35">
        <f t="shared" si="1"/>
        <v>116.66666666666667</v>
      </c>
      <c r="F16" s="35">
        <f aca="true" t="shared" si="2" ref="F16:F22">E16-$E$13</f>
        <v>103.83333333333334</v>
      </c>
      <c r="G16" s="35">
        <f>F16/(Parameters!$B$9*Parameters!$B$20)</f>
        <v>159.74358974358975</v>
      </c>
      <c r="H16" s="42">
        <f>G16/(37000*60*Parameters!$B$27/1000)</f>
        <v>0.0007195657195657196</v>
      </c>
      <c r="I16" s="42">
        <f>H16/EXP(-0.693*(Parameters!$D$25)/(Parameters!$B$8*24))</f>
        <v>0.0007199259163204063</v>
      </c>
      <c r="J16" s="37">
        <f t="shared" si="0"/>
        <v>0.026637258903855033</v>
      </c>
    </row>
    <row r="17" spans="1:10" ht="12.75">
      <c r="A17" s="20">
        <v>5</v>
      </c>
      <c r="B17" s="29">
        <v>240</v>
      </c>
      <c r="C17" s="29">
        <v>221</v>
      </c>
      <c r="D17" s="29">
        <v>235</v>
      </c>
      <c r="E17" s="35">
        <f t="shared" si="1"/>
        <v>232</v>
      </c>
      <c r="F17" s="35">
        <f t="shared" si="2"/>
        <v>219.16666666666666</v>
      </c>
      <c r="G17" s="35">
        <f>F17/(Parameters!$B$9*Parameters!$B$20)</f>
        <v>337.1794871794871</v>
      </c>
      <c r="H17" s="42">
        <f>G17/(37000*60*Parameters!$B$27/1000)</f>
        <v>0.0015188265188265187</v>
      </c>
      <c r="I17" s="42">
        <f>H17/EXP(-0.693*(Parameters!$D$25)/(Parameters!$B$8*24))</f>
        <v>0.001519586805716427</v>
      </c>
      <c r="J17" s="37">
        <f t="shared" si="0"/>
        <v>0.0562247118115078</v>
      </c>
    </row>
    <row r="18" spans="1:10" ht="12.75">
      <c r="A18" s="20">
        <v>6</v>
      </c>
      <c r="B18" s="29">
        <v>370</v>
      </c>
      <c r="C18" s="29">
        <v>587</v>
      </c>
      <c r="D18" s="29">
        <v>506</v>
      </c>
      <c r="E18" s="35">
        <f t="shared" si="1"/>
        <v>487.6666666666667</v>
      </c>
      <c r="F18" s="35">
        <f t="shared" si="2"/>
        <v>474.83333333333337</v>
      </c>
      <c r="G18" s="35">
        <f>F18/(Parameters!$B$9*Parameters!$B$20)</f>
        <v>730.5128205128206</v>
      </c>
      <c r="H18" s="42">
        <f>G18/(37000*60*Parameters!$B$27/1000)</f>
        <v>0.0032905982905982907</v>
      </c>
      <c r="I18" s="42">
        <f>H18/EXP(-0.693*(Parameters!$D$25)/(Parameters!$B$8*24))</f>
        <v>0.0032922454824989363</v>
      </c>
      <c r="J18" s="37">
        <f t="shared" si="0"/>
        <v>0.12181308285246065</v>
      </c>
    </row>
    <row r="19" spans="1:10" ht="12.75">
      <c r="A19" s="20">
        <v>7</v>
      </c>
      <c r="B19" s="29">
        <v>726</v>
      </c>
      <c r="C19" s="29">
        <v>813</v>
      </c>
      <c r="D19" s="29">
        <v>715</v>
      </c>
      <c r="E19" s="35">
        <f t="shared" si="1"/>
        <v>751.3333333333334</v>
      </c>
      <c r="F19" s="35">
        <f t="shared" si="2"/>
        <v>738.5</v>
      </c>
      <c r="G19" s="35">
        <f>F19/(Parameters!$B$9*Parameters!$B$20)</f>
        <v>1136.1538461538462</v>
      </c>
      <c r="H19" s="42">
        <f>G19/(37000*60*Parameters!$B$27/1000)</f>
        <v>0.005117810117810118</v>
      </c>
      <c r="I19" s="42">
        <f>H19/EXP(-0.693*(Parameters!$D$25)/(Parameters!$B$8*24))</f>
        <v>0.005120371966638395</v>
      </c>
      <c r="J19" s="37">
        <f t="shared" si="0"/>
        <v>0.1894537627656206</v>
      </c>
    </row>
    <row r="20" spans="1:10" ht="12.75">
      <c r="A20" s="20">
        <v>8</v>
      </c>
      <c r="B20" s="29">
        <v>1844</v>
      </c>
      <c r="C20" s="29">
        <v>1866</v>
      </c>
      <c r="D20" s="29">
        <v>1617</v>
      </c>
      <c r="E20" s="35">
        <f t="shared" si="1"/>
        <v>1775.6666666666667</v>
      </c>
      <c r="F20" s="35">
        <f t="shared" si="2"/>
        <v>1762.8333333333335</v>
      </c>
      <c r="G20" s="35">
        <f>F20/(Parameters!$B$9*Parameters!$B$20)</f>
        <v>2712.051282051282</v>
      </c>
      <c r="H20" s="42">
        <f>G20/(37000*60*Parameters!$B$27/1000)</f>
        <v>0.012216447216447218</v>
      </c>
      <c r="I20" s="42">
        <f>H20/EXP(-0.693*(Parameters!$D$25)/(Parameters!$B$8*24))</f>
        <v>0.012222562466967797</v>
      </c>
      <c r="J20" s="37">
        <f t="shared" si="0"/>
        <v>0.4522348112778085</v>
      </c>
    </row>
    <row r="21" spans="1:10" ht="12.75">
      <c r="A21" s="20">
        <v>9</v>
      </c>
      <c r="B21" s="29">
        <v>2067</v>
      </c>
      <c r="C21" s="29">
        <v>2133</v>
      </c>
      <c r="D21" s="26">
        <v>2138</v>
      </c>
      <c r="E21" s="35">
        <f>AVERAGE(B21:C21)</f>
        <v>2100</v>
      </c>
      <c r="F21" s="35">
        <f t="shared" si="2"/>
        <v>2087.1666666666665</v>
      </c>
      <c r="G21" s="35">
        <f>F21/(Parameters!$B$9*Parameters!$B$20)</f>
        <v>3211.0256410256407</v>
      </c>
      <c r="H21" s="42">
        <f>G21/(37000*60*Parameters!$B$27/1000)</f>
        <v>0.014464079464079462</v>
      </c>
      <c r="I21" s="42">
        <f>H21/EXP(-0.693*(Parameters!$D$25)/(Parameters!$B$8*24))</f>
        <v>0.014471319823564118</v>
      </c>
      <c r="J21" s="37">
        <f t="shared" si="0"/>
        <v>0.5354388334718724</v>
      </c>
    </row>
    <row r="22" spans="1:10" ht="12.75">
      <c r="A22" s="20">
        <v>10</v>
      </c>
      <c r="B22" s="29">
        <v>4549</v>
      </c>
      <c r="C22" s="29">
        <v>4600</v>
      </c>
      <c r="D22" s="29">
        <v>3991</v>
      </c>
      <c r="E22" s="35">
        <f t="shared" si="1"/>
        <v>4380</v>
      </c>
      <c r="F22" s="35">
        <f t="shared" si="2"/>
        <v>4367.166666666667</v>
      </c>
      <c r="G22" s="35">
        <f>F22/(Parameters!$B$9*Parameters!$B$20)</f>
        <v>6718.717948717949</v>
      </c>
      <c r="H22" s="42">
        <f>G22/(37000*60*Parameters!$B$27/1000)</f>
        <v>0.030264495264495265</v>
      </c>
      <c r="I22" s="42">
        <f>H22/EXP(-0.693*(Parameters!$D$25)/(Parameters!$B$8*24))</f>
        <v>0.03027964492029471</v>
      </c>
      <c r="J22" s="37">
        <f t="shared" si="0"/>
        <v>1.1203468620509043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F22" sqref="F22"/>
    </sheetView>
  </sheetViews>
  <sheetFormatPr defaultColWidth="9.140625" defaultRowHeight="12.75"/>
  <cols>
    <col min="1" max="1" width="6.57421875" style="63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3" t="s">
        <v>45</v>
      </c>
      <c r="B3" s="20"/>
      <c r="C3" s="20" t="str">
        <f>Parameters!$B$3</f>
        <v>ML - Oct. 2, 2000</v>
      </c>
      <c r="D3" s="20"/>
      <c r="E3" s="20"/>
      <c r="F3" s="20"/>
    </row>
    <row r="4" spans="1:6" ht="12.75">
      <c r="A4" s="63" t="s">
        <v>12</v>
      </c>
      <c r="B4" s="20"/>
      <c r="C4" s="43">
        <f>Parameters!$B$1</f>
        <v>36801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3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4">
        <v>1</v>
      </c>
      <c r="B13" s="28">
        <v>394</v>
      </c>
      <c r="C13" s="28">
        <v>266</v>
      </c>
      <c r="D13" s="28">
        <v>288</v>
      </c>
      <c r="E13" s="34">
        <f>IF(Parameters!$B$33="Yes",AVERAGE(G13:J13),AVERAGE(B13:D13))</f>
        <v>316</v>
      </c>
      <c r="F13" s="34">
        <f>IF(Parameters!$B$33="Yes",E13*10000,(E13-Parameters!$B$31)*Parameters!$B$32*(100/Parameters!$B$29)*(500/Parameters!$B$30))</f>
        <v>1260000</v>
      </c>
      <c r="G13" s="26"/>
      <c r="H13" s="26"/>
      <c r="I13" s="26"/>
      <c r="J13" s="26"/>
    </row>
    <row r="14" spans="1:10" ht="12.75">
      <c r="A14" s="64">
        <v>2</v>
      </c>
      <c r="B14" s="28">
        <v>395</v>
      </c>
      <c r="C14" s="28">
        <v>341</v>
      </c>
      <c r="D14" s="28">
        <v>307</v>
      </c>
      <c r="E14" s="34">
        <f>IF(Parameters!$B$33="Yes",AVERAGE(G14:J14),AVERAGE(B14:D14))</f>
        <v>347.6666666666667</v>
      </c>
      <c r="F14" s="34">
        <f>IF(Parameters!$B$33="Yes",E14*10000,(E14-Parameters!$B$31)*Parameters!$B$32*(100/Parameters!$B$29)*(500/Parameters!$B$30))</f>
        <v>1386666.666666667</v>
      </c>
      <c r="G14" s="26"/>
      <c r="H14" s="26"/>
      <c r="I14" s="26"/>
      <c r="J14" s="26"/>
    </row>
    <row r="15" spans="1:10" ht="12.75">
      <c r="A15" s="63">
        <v>3</v>
      </c>
      <c r="B15" s="29">
        <v>414</v>
      </c>
      <c r="C15" s="29">
        <v>346</v>
      </c>
      <c r="D15" s="29">
        <v>336</v>
      </c>
      <c r="E15" s="35">
        <f>IF(Parameters!$B$33="Yes",AVERAGE(G15:J15),AVERAGE(B15:D15))</f>
        <v>365.3333333333333</v>
      </c>
      <c r="F15" s="35">
        <f>IF(Parameters!$B$33="Yes",E15*10000,(E15-Parameters!$B$31)*Parameters!$B$32*(100/Parameters!$B$29)*(500/Parameters!$B$30))</f>
        <v>1457333.333333333</v>
      </c>
      <c r="G15" s="26"/>
      <c r="H15" s="26"/>
      <c r="I15" s="26"/>
      <c r="J15" s="26"/>
    </row>
    <row r="16" spans="1:10" ht="12.75">
      <c r="A16" s="63">
        <v>4</v>
      </c>
      <c r="B16" s="26">
        <v>379</v>
      </c>
      <c r="C16" s="26">
        <v>408</v>
      </c>
      <c r="D16" s="26">
        <v>331</v>
      </c>
      <c r="E16" s="35">
        <f>IF(Parameters!$B$33="Yes",AVERAGE(G16:J16),AVERAGE(B16:D16))</f>
        <v>372.6666666666667</v>
      </c>
      <c r="F16" s="35">
        <f>IF(Parameters!$B$33="Yes",E16*10000,(E16-Parameters!$B$31)*Parameters!$B$32*(100/Parameters!$B$29)*(500/Parameters!$B$30))</f>
        <v>1486666.666666667</v>
      </c>
      <c r="G16" s="26"/>
      <c r="H16" s="26"/>
      <c r="I16" s="26"/>
      <c r="J16" s="26"/>
    </row>
    <row r="17" spans="1:10" ht="12.75">
      <c r="A17" s="63">
        <v>5</v>
      </c>
      <c r="B17" s="29">
        <v>360</v>
      </c>
      <c r="C17" s="29">
        <v>367</v>
      </c>
      <c r="D17" s="29">
        <v>316</v>
      </c>
      <c r="E17" s="35">
        <f>IF(Parameters!$B$33="Yes",AVERAGE(G17:J17),AVERAGE(B17:D17))</f>
        <v>347.6666666666667</v>
      </c>
      <c r="F17" s="35">
        <f>IF(Parameters!$B$33="Yes",E17*10000,(E17-Parameters!$B$31)*Parameters!$B$32*(100/Parameters!$B$29)*(500/Parameters!$B$30))</f>
        <v>1386666.666666667</v>
      </c>
      <c r="G17" s="26"/>
      <c r="H17" s="26"/>
      <c r="I17" s="26"/>
      <c r="J17" s="26"/>
    </row>
    <row r="18" spans="1:10" ht="12.75">
      <c r="A18" s="63">
        <v>6</v>
      </c>
      <c r="B18" s="29">
        <v>354</v>
      </c>
      <c r="C18" s="29">
        <v>290</v>
      </c>
      <c r="D18" s="29">
        <v>269</v>
      </c>
      <c r="E18" s="35">
        <f>IF(Parameters!$B$33="Yes",AVERAGE(G18:J18),AVERAGE(B18:D18))</f>
        <v>304.3333333333333</v>
      </c>
      <c r="F18" s="35">
        <f>IF(Parameters!$B$33="Yes",E18*10000,(E18-Parameters!$B$31)*Parameters!$B$32*(100/Parameters!$B$29)*(500/Parameters!$B$30))</f>
        <v>1213333.3333333333</v>
      </c>
      <c r="G18" s="26"/>
      <c r="H18" s="26"/>
      <c r="I18" s="26"/>
      <c r="J18" s="26"/>
    </row>
    <row r="19" spans="1:10" ht="12.75">
      <c r="A19" s="63">
        <v>7</v>
      </c>
      <c r="B19" s="29">
        <v>246</v>
      </c>
      <c r="C19" s="29">
        <v>233</v>
      </c>
      <c r="D19" s="29">
        <v>198</v>
      </c>
      <c r="E19" s="35">
        <f>IF(Parameters!$B$33="Yes",AVERAGE(G19:J19),AVERAGE(B19:D19))</f>
        <v>225.66666666666666</v>
      </c>
      <c r="F19" s="35">
        <f>IF(Parameters!$B$33="Yes",E19*10000,(E19-Parameters!$B$31)*Parameters!$B$32*(100/Parameters!$B$29)*(500/Parameters!$B$30))</f>
        <v>898666.6666666665</v>
      </c>
      <c r="G19" s="26"/>
      <c r="H19" s="26"/>
      <c r="I19" s="26"/>
      <c r="J19" s="26"/>
    </row>
    <row r="20" spans="1:10" ht="12.75">
      <c r="A20" s="63">
        <v>8</v>
      </c>
      <c r="B20" s="29">
        <v>319</v>
      </c>
      <c r="C20" s="29">
        <v>322</v>
      </c>
      <c r="D20" s="29">
        <v>333</v>
      </c>
      <c r="E20" s="35">
        <f>IF(Parameters!$B$33="Yes",AVERAGE(G20:J20),AVERAGE(B20:D20))</f>
        <v>324.6666666666667</v>
      </c>
      <c r="F20" s="35">
        <f>IF(Parameters!$B$33="Yes",E20*10000,(E20-Parameters!$B$31)*Parameters!$B$32*(100/Parameters!$B$29)*(500/Parameters!$B$30))</f>
        <v>1294666.6666666667</v>
      </c>
      <c r="G20" s="26"/>
      <c r="H20" s="26"/>
      <c r="I20" s="26"/>
      <c r="J20" s="26"/>
    </row>
    <row r="21" spans="1:10" ht="12.75">
      <c r="A21" s="63">
        <v>9</v>
      </c>
      <c r="B21" s="29">
        <v>298</v>
      </c>
      <c r="C21" s="29">
        <v>294</v>
      </c>
      <c r="D21" s="29">
        <v>314</v>
      </c>
      <c r="E21" s="35">
        <f>IF(Parameters!$B$33="Yes",AVERAGE(G21:J21),AVERAGE(B21:D21))</f>
        <v>302</v>
      </c>
      <c r="F21" s="35">
        <f>IF(Parameters!$B$33="Yes",E21*10000,(E21-Parameters!$B$31)*Parameters!$B$32*(100/Parameters!$B$29)*(500/Parameters!$B$30))</f>
        <v>1204000</v>
      </c>
      <c r="G21" s="26"/>
      <c r="H21" s="26"/>
      <c r="I21" s="26"/>
      <c r="J21" s="26"/>
    </row>
    <row r="22" spans="1:10" ht="12.75">
      <c r="A22" s="63">
        <v>10</v>
      </c>
      <c r="B22" s="29">
        <v>373</v>
      </c>
      <c r="C22" s="29">
        <v>328</v>
      </c>
      <c r="D22" s="29">
        <v>335</v>
      </c>
      <c r="E22" s="35">
        <f>IF(Parameters!$B$33="Yes",AVERAGE(G22:J22),AVERAGE(B22:D22))</f>
        <v>345.3333333333333</v>
      </c>
      <c r="F22" s="35">
        <f>IF(Parameters!$B$33="Yes",E22*10000,(E22-Parameters!$B$31)*Parameters!$B$32*(100/Parameters!$B$29)*(500/Parameters!$B$30))</f>
        <v>1377333.333333333</v>
      </c>
      <c r="G22" s="26"/>
      <c r="H22" s="26"/>
      <c r="I22" s="26"/>
      <c r="J22" s="26"/>
    </row>
    <row r="29" spans="1:10" ht="12.75">
      <c r="A29" s="63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4">
        <v>1</v>
      </c>
      <c r="B35" s="26">
        <v>200</v>
      </c>
      <c r="C35" s="34">
        <f>F13/(10000*200/B35)</f>
        <v>126</v>
      </c>
      <c r="D35" s="28">
        <v>37</v>
      </c>
      <c r="E35" s="28">
        <v>48</v>
      </c>
      <c r="F35" s="28">
        <v>35</v>
      </c>
      <c r="G35" s="34">
        <f>AVERAGE(D35:F36)</f>
        <v>37.5</v>
      </c>
      <c r="H35" s="44">
        <f>G35/C35*100</f>
        <v>29.761904761904763</v>
      </c>
      <c r="I35" s="60">
        <f>G35*200/B35/$G$35</f>
        <v>1</v>
      </c>
      <c r="J35" s="59">
        <f>(G35/AVERAGE(C35:C36))/($G$35/AVERAGE($C$35,$C$36))</f>
        <v>1</v>
      </c>
    </row>
    <row r="36" spans="1:10" ht="12.75">
      <c r="A36" s="64">
        <v>2</v>
      </c>
      <c r="B36" s="26">
        <v>200</v>
      </c>
      <c r="C36" s="34">
        <f aca="true" t="shared" si="0" ref="C36:C44">F14/(10000*200/B36)</f>
        <v>138.66666666666669</v>
      </c>
      <c r="D36" s="28">
        <v>38</v>
      </c>
      <c r="E36" s="28">
        <v>36</v>
      </c>
      <c r="F36" s="28">
        <v>31</v>
      </c>
      <c r="G36" s="34"/>
      <c r="H36" s="44"/>
      <c r="I36" s="45"/>
      <c r="J36" s="37"/>
    </row>
    <row r="37" spans="1:10" ht="12.75">
      <c r="A37" s="63">
        <v>3</v>
      </c>
      <c r="B37" s="26">
        <v>200</v>
      </c>
      <c r="C37" s="35">
        <f t="shared" si="0"/>
        <v>145.7333333333333</v>
      </c>
      <c r="D37" s="29">
        <v>52</v>
      </c>
      <c r="E37" s="29">
        <v>57</v>
      </c>
      <c r="F37" s="29">
        <v>47</v>
      </c>
      <c r="G37" s="35">
        <f aca="true" t="shared" si="1" ref="G37:G44">AVERAGE(D37:F37)</f>
        <v>52</v>
      </c>
      <c r="H37" s="46">
        <f aca="true" t="shared" si="2" ref="H37:H44">G37/C37*100</f>
        <v>35.68161024702654</v>
      </c>
      <c r="I37" s="37">
        <f aca="true" t="shared" si="3" ref="I37:I44">G37*200/B37/$G$35</f>
        <v>1.3866666666666667</v>
      </c>
      <c r="J37" s="37">
        <f>(G37/C37)/($G$35/AVERAGE($C$35,$C$36))</f>
        <v>1.2591643793839589</v>
      </c>
    </row>
    <row r="38" spans="1:10" ht="12.75">
      <c r="A38" s="63">
        <v>4</v>
      </c>
      <c r="B38" s="26">
        <v>200</v>
      </c>
      <c r="C38" s="35">
        <f t="shared" si="0"/>
        <v>148.66666666666669</v>
      </c>
      <c r="D38" s="29">
        <v>57</v>
      </c>
      <c r="E38" s="29">
        <v>65</v>
      </c>
      <c r="F38" s="29">
        <v>72</v>
      </c>
      <c r="G38" s="35">
        <f t="shared" si="1"/>
        <v>64.66666666666667</v>
      </c>
      <c r="H38" s="46">
        <f t="shared" si="2"/>
        <v>43.49775784753363</v>
      </c>
      <c r="I38" s="37">
        <f t="shared" si="3"/>
        <v>1.7244444444444447</v>
      </c>
      <c r="J38" s="37">
        <f aca="true" t="shared" si="4" ref="J38:J44">(G38/C38)/($G$35/AVERAGE($C$35,$C$36))</f>
        <v>1.534987543597409</v>
      </c>
    </row>
    <row r="39" spans="1:10" ht="12.75">
      <c r="A39" s="63">
        <v>5</v>
      </c>
      <c r="B39" s="26">
        <v>200</v>
      </c>
      <c r="C39" s="35">
        <f t="shared" si="0"/>
        <v>138.66666666666669</v>
      </c>
      <c r="D39" s="29">
        <v>29</v>
      </c>
      <c r="E39" s="29">
        <v>22</v>
      </c>
      <c r="F39" s="29">
        <v>22</v>
      </c>
      <c r="G39" s="35">
        <f t="shared" si="1"/>
        <v>24.333333333333332</v>
      </c>
      <c r="H39" s="46">
        <f t="shared" si="2"/>
        <v>17.54807692307692</v>
      </c>
      <c r="I39" s="37">
        <f t="shared" si="3"/>
        <v>0.6488888888888887</v>
      </c>
      <c r="J39" s="37">
        <f t="shared" si="4"/>
        <v>0.6192521367521366</v>
      </c>
    </row>
    <row r="40" spans="1:10" ht="12.75">
      <c r="A40" s="63">
        <v>6</v>
      </c>
      <c r="B40" s="26">
        <v>200</v>
      </c>
      <c r="C40" s="35">
        <f t="shared" si="0"/>
        <v>121.33333333333333</v>
      </c>
      <c r="D40" s="29">
        <v>50</v>
      </c>
      <c r="E40" s="29">
        <v>51</v>
      </c>
      <c r="F40" s="29">
        <v>47</v>
      </c>
      <c r="G40" s="35">
        <f t="shared" si="1"/>
        <v>49.333333333333336</v>
      </c>
      <c r="H40" s="46">
        <f t="shared" si="2"/>
        <v>40.659340659340664</v>
      </c>
      <c r="I40" s="37">
        <f t="shared" si="3"/>
        <v>1.3155555555555558</v>
      </c>
      <c r="J40" s="37">
        <f t="shared" si="4"/>
        <v>1.434822954822955</v>
      </c>
    </row>
    <row r="41" spans="1:10" ht="12.75">
      <c r="A41" s="63">
        <v>7</v>
      </c>
      <c r="B41" s="26">
        <v>200</v>
      </c>
      <c r="C41" s="35">
        <f t="shared" si="0"/>
        <v>89.86666666666665</v>
      </c>
      <c r="D41" s="29">
        <v>38</v>
      </c>
      <c r="E41" s="29">
        <v>50</v>
      </c>
      <c r="F41" s="29">
        <v>43</v>
      </c>
      <c r="G41" s="35">
        <f t="shared" si="1"/>
        <v>43.666666666666664</v>
      </c>
      <c r="H41" s="46">
        <f t="shared" si="2"/>
        <v>48.59050445103858</v>
      </c>
      <c r="I41" s="37">
        <f t="shared" si="3"/>
        <v>1.1644444444444442</v>
      </c>
      <c r="J41" s="37">
        <f t="shared" si="4"/>
        <v>1.7147049126277616</v>
      </c>
    </row>
    <row r="42" spans="1:10" ht="12.75">
      <c r="A42" s="63">
        <v>8</v>
      </c>
      <c r="B42" s="26">
        <v>200</v>
      </c>
      <c r="C42" s="35">
        <f t="shared" si="0"/>
        <v>129.46666666666667</v>
      </c>
      <c r="D42" s="29">
        <v>39</v>
      </c>
      <c r="E42" s="29">
        <v>60</v>
      </c>
      <c r="F42" s="29">
        <v>48</v>
      </c>
      <c r="G42" s="35">
        <f t="shared" si="1"/>
        <v>49</v>
      </c>
      <c r="H42" s="46">
        <f t="shared" si="2"/>
        <v>37.8475798146241</v>
      </c>
      <c r="I42" s="37">
        <f t="shared" si="3"/>
        <v>1.3066666666666666</v>
      </c>
      <c r="J42" s="37">
        <f t="shared" si="4"/>
        <v>1.335599038791624</v>
      </c>
    </row>
    <row r="43" spans="1:10" ht="12.75">
      <c r="A43" s="63">
        <v>9</v>
      </c>
      <c r="B43" s="26">
        <v>200</v>
      </c>
      <c r="C43" s="35">
        <f t="shared" si="0"/>
        <v>120.4</v>
      </c>
      <c r="D43" s="29">
        <v>41</v>
      </c>
      <c r="E43" s="29">
        <v>34</v>
      </c>
      <c r="F43" s="29">
        <v>38</v>
      </c>
      <c r="G43" s="35">
        <f t="shared" si="1"/>
        <v>37.666666666666664</v>
      </c>
      <c r="H43" s="46">
        <f t="shared" si="2"/>
        <v>31.284606866002214</v>
      </c>
      <c r="I43" s="37">
        <f t="shared" si="3"/>
        <v>1.0044444444444445</v>
      </c>
      <c r="J43" s="37">
        <f t="shared" si="4"/>
        <v>1.1039990156269226</v>
      </c>
    </row>
    <row r="44" spans="1:10" ht="12.75">
      <c r="A44" s="63">
        <v>10</v>
      </c>
      <c r="B44" s="26">
        <v>200</v>
      </c>
      <c r="C44" s="35">
        <f t="shared" si="0"/>
        <v>137.7333333333333</v>
      </c>
      <c r="D44" s="29">
        <v>19</v>
      </c>
      <c r="E44" s="29">
        <v>19</v>
      </c>
      <c r="F44" s="29">
        <v>20</v>
      </c>
      <c r="G44" s="35">
        <f t="shared" si="1"/>
        <v>19.333333333333332</v>
      </c>
      <c r="H44" s="46">
        <f t="shared" si="2"/>
        <v>14.036786060019365</v>
      </c>
      <c r="I44" s="37">
        <f t="shared" si="3"/>
        <v>0.5155555555555555</v>
      </c>
      <c r="J44" s="37">
        <f t="shared" si="4"/>
        <v>0.49534258362912786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15" sqref="D15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36801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9">
        <f>CoulterSurvival!I35</f>
        <v>1</v>
      </c>
      <c r="E13" s="59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9"/>
      <c r="E14" s="59"/>
    </row>
    <row r="15" spans="1:5" ht="12.75">
      <c r="A15" s="20">
        <v>3</v>
      </c>
      <c r="B15" s="46">
        <f>MediumActivity!J15</f>
        <v>0.13477166922224712</v>
      </c>
      <c r="C15" s="46">
        <f>CellSuspension!J15/(CoulterSurvival!F15*Parameters!$B$14)*1000000</f>
        <v>0.001378924362330385</v>
      </c>
      <c r="D15" s="37">
        <f>CoulterSurvival!I37</f>
        <v>1.3866666666666667</v>
      </c>
      <c r="E15" s="37">
        <f>CoulterSurvival!J37</f>
        <v>1.2591643793839589</v>
      </c>
    </row>
    <row r="16" spans="1:5" ht="12.75">
      <c r="A16" s="20">
        <v>4</v>
      </c>
      <c r="B16" s="46">
        <f>MediumActivity!J16</f>
        <v>0.5749877980771558</v>
      </c>
      <c r="C16" s="46">
        <f>CellSuspension!J16/(CoulterSurvival!F16*Parameters!$B$14)*1000000</f>
        <v>0.01791743872456616</v>
      </c>
      <c r="D16" s="37">
        <f>CoulterSurvival!I38</f>
        <v>1.7244444444444447</v>
      </c>
      <c r="E16" s="37">
        <f>CoulterSurvival!J38</f>
        <v>1.534987543597409</v>
      </c>
    </row>
    <row r="17" spans="1:5" ht="12.75">
      <c r="A17" s="20">
        <v>5</v>
      </c>
      <c r="B17" s="46">
        <f>MediumActivity!J17</f>
        <v>1.2249120633962802</v>
      </c>
      <c r="C17" s="46">
        <f>CellSuspension!J17/(CoulterSurvival!F17*Parameters!$B$14)*1000000</f>
        <v>0.04054666717176042</v>
      </c>
      <c r="D17" s="37">
        <f>CoulterSurvival!I39</f>
        <v>0.6488888888888887</v>
      </c>
      <c r="E17" s="37">
        <f>CoulterSurvival!J39</f>
        <v>0.6192521367521366</v>
      </c>
    </row>
    <row r="18" spans="1:5" ht="12.75">
      <c r="A18" s="20">
        <v>6</v>
      </c>
      <c r="B18" s="46">
        <f>MediumActivity!J18</f>
        <v>2.462930885321573</v>
      </c>
      <c r="C18" s="46">
        <f>CellSuspension!J18/(CoulterSurvival!F18*Parameters!$B$14)*1000000</f>
        <v>0.1003953979553247</v>
      </c>
      <c r="D18" s="37">
        <f>CoulterSurvival!I40</f>
        <v>1.3155555555555558</v>
      </c>
      <c r="E18" s="37">
        <f>CoulterSurvival!J40</f>
        <v>1.434822954822955</v>
      </c>
    </row>
    <row r="19" spans="1:5" ht="12.75">
      <c r="A19" s="20">
        <v>7</v>
      </c>
      <c r="B19" s="46">
        <f>MediumActivity!J19</f>
        <v>6.776194159499961</v>
      </c>
      <c r="C19" s="46">
        <f>CellSuspension!J19/(CoulterSurvival!F19*Parameters!$B$14)*1000000</f>
        <v>0.2108165015937915</v>
      </c>
      <c r="D19" s="37">
        <f>CoulterSurvival!I41</f>
        <v>1.1644444444444442</v>
      </c>
      <c r="E19" s="37">
        <f>CoulterSurvival!J41</f>
        <v>1.7147049126277616</v>
      </c>
    </row>
    <row r="20" spans="1:5" ht="12.75">
      <c r="A20" s="20">
        <v>8</v>
      </c>
      <c r="B20" s="46">
        <f>MediumActivity!J20</f>
        <v>9.486728809206594</v>
      </c>
      <c r="C20" s="46">
        <f>CellSuspension!J20/(CoulterSurvival!F20*Parameters!$B$14)*1000000</f>
        <v>0.34930598193445556</v>
      </c>
      <c r="D20" s="37">
        <f>CoulterSurvival!I42</f>
        <v>1.3066666666666666</v>
      </c>
      <c r="E20" s="37">
        <f>CoulterSurvival!J42</f>
        <v>1.335599038791624</v>
      </c>
    </row>
    <row r="21" spans="1:5" ht="12.75">
      <c r="A21" s="20">
        <v>9</v>
      </c>
      <c r="B21" s="46">
        <f>MediumActivity!J21</f>
        <v>13.021279669041636</v>
      </c>
      <c r="C21" s="46">
        <f>CellSuspension!J21/(CoulterSurvival!F21*Parameters!$B$14)*1000000</f>
        <v>0.44471663909623954</v>
      </c>
      <c r="D21" s="37">
        <f>CoulterSurvival!I43</f>
        <v>1.0044444444444445</v>
      </c>
      <c r="E21" s="37">
        <f>CoulterSurvival!J43</f>
        <v>1.1039990156269226</v>
      </c>
    </row>
    <row r="22" spans="1:5" ht="12.75">
      <c r="A22" s="20">
        <v>10</v>
      </c>
      <c r="B22" s="46">
        <f>MediumActivity!J22</f>
        <v>26.48676448040354</v>
      </c>
      <c r="C22" s="46">
        <f>CellSuspension!J22/(CoulterSurvival!F22*Parameters!$B$14)*1000000</f>
        <v>0.8134173732218571</v>
      </c>
      <c r="D22" s="37">
        <f>CoulterSurvival!I44</f>
        <v>0.5155555555555555</v>
      </c>
      <c r="E22" s="37">
        <f>CoulterSurvival!J44</f>
        <v>0.49534258362912786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8">
      <selection activeCell="I38" sqref="I38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36801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9">
        <f>CoulterSurvival!I35</f>
        <v>1</v>
      </c>
      <c r="E13" s="59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9"/>
      <c r="E14" s="59"/>
    </row>
    <row r="15" spans="1:5" ht="12.75">
      <c r="A15" s="20">
        <v>3</v>
      </c>
      <c r="B15" s="46">
        <f>MediumActivity!J15</f>
        <v>0.13477166922224712</v>
      </c>
      <c r="C15" s="46">
        <f>CellSuspension!J15/(CoulterSurvival!F15*Parameters!$B$14)*1000000</f>
        <v>0.001378924362330385</v>
      </c>
      <c r="D15" s="37">
        <f>CoulterSurvival!I37</f>
        <v>1.3866666666666667</v>
      </c>
      <c r="E15" s="37">
        <f>CoulterSurvival!J37</f>
        <v>1.2591643793839589</v>
      </c>
    </row>
    <row r="16" spans="1:5" ht="12.75">
      <c r="A16" s="20">
        <v>4</v>
      </c>
      <c r="B16" s="46">
        <f>MediumActivity!J16</f>
        <v>0.5749877980771558</v>
      </c>
      <c r="C16" s="46">
        <f>CellSuspension!J16/(CoulterSurvival!F16*Parameters!$B$14)*1000000</f>
        <v>0.01791743872456616</v>
      </c>
      <c r="D16" s="37">
        <f>CoulterSurvival!I38</f>
        <v>1.7244444444444447</v>
      </c>
      <c r="E16" s="37">
        <f>CoulterSurvival!J38</f>
        <v>1.534987543597409</v>
      </c>
    </row>
    <row r="17" spans="1:5" ht="12.75">
      <c r="A17" s="20">
        <v>5</v>
      </c>
      <c r="B17" s="46">
        <f>MediumActivity!J17</f>
        <v>1.2249120633962802</v>
      </c>
      <c r="C17" s="46">
        <f>CellSuspension!J17/(CoulterSurvival!F17*Parameters!$B$14)*1000000</f>
        <v>0.04054666717176042</v>
      </c>
      <c r="D17" s="37">
        <f>CoulterSurvival!I39</f>
        <v>0.6488888888888887</v>
      </c>
      <c r="E17" s="37">
        <f>CoulterSurvival!J39</f>
        <v>0.6192521367521366</v>
      </c>
    </row>
    <row r="18" spans="1:5" ht="12.75">
      <c r="A18" s="20">
        <v>6</v>
      </c>
      <c r="B18" s="46">
        <f>MediumActivity!J18</f>
        <v>2.462930885321573</v>
      </c>
      <c r="C18" s="46">
        <f>CellSuspension!J18/(CoulterSurvival!F18*Parameters!$B$14)*1000000</f>
        <v>0.1003953979553247</v>
      </c>
      <c r="D18" s="37">
        <f>CoulterSurvival!I40</f>
        <v>1.3155555555555558</v>
      </c>
      <c r="E18" s="37">
        <f>CoulterSurvival!J40</f>
        <v>1.434822954822955</v>
      </c>
    </row>
    <row r="19" spans="1:5" ht="12.75">
      <c r="A19" s="20">
        <v>7</v>
      </c>
      <c r="B19" s="46">
        <f>MediumActivity!J19</f>
        <v>6.776194159499961</v>
      </c>
      <c r="C19" s="46">
        <f>CellSuspension!J19/(CoulterSurvival!F19*Parameters!$B$14)*1000000</f>
        <v>0.2108165015937915</v>
      </c>
      <c r="D19" s="37">
        <f>CoulterSurvival!I41</f>
        <v>1.1644444444444442</v>
      </c>
      <c r="E19" s="37">
        <f>CoulterSurvival!J41</f>
        <v>1.7147049126277616</v>
      </c>
    </row>
    <row r="20" spans="1:5" ht="12.75">
      <c r="A20" s="20">
        <v>8</v>
      </c>
      <c r="B20" s="46">
        <f>MediumActivity!J20</f>
        <v>9.486728809206594</v>
      </c>
      <c r="C20" s="46">
        <f>CellSuspension!J20/(CoulterSurvival!F20*Parameters!$B$14)*1000000</f>
        <v>0.34930598193445556</v>
      </c>
      <c r="D20" s="37">
        <f>CoulterSurvival!I42</f>
        <v>1.3066666666666666</v>
      </c>
      <c r="E20" s="37">
        <f>CoulterSurvival!J42</f>
        <v>1.335599038791624</v>
      </c>
    </row>
    <row r="21" spans="1:5" ht="12.75">
      <c r="A21" s="20">
        <v>9</v>
      </c>
      <c r="B21" s="46">
        <f>MediumActivity!J21</f>
        <v>13.021279669041636</v>
      </c>
      <c r="C21" s="46">
        <f>CellSuspension!J21/(CoulterSurvival!F21*Parameters!$B$14)*1000000</f>
        <v>0.44471663909623954</v>
      </c>
      <c r="D21" s="37">
        <f>CoulterSurvival!I43</f>
        <v>1.0044444444444445</v>
      </c>
      <c r="E21" s="37">
        <f>CoulterSurvival!J43</f>
        <v>1.1039990156269226</v>
      </c>
    </row>
    <row r="22" spans="1:5" ht="12.75">
      <c r="A22" s="20">
        <v>10</v>
      </c>
      <c r="B22" s="46">
        <f>MediumActivity!J22</f>
        <v>26.48676448040354</v>
      </c>
      <c r="C22" s="46">
        <f>CellSuspension!J22/(CoulterSurvival!F22*Parameters!$B$14)*1000000</f>
        <v>0.8134173732218571</v>
      </c>
      <c r="D22" s="37">
        <f>CoulterSurvival!I44</f>
        <v>0.5155555555555555</v>
      </c>
      <c r="E22" s="37">
        <f>CoulterSurvival!J44</f>
        <v>0.49534258362912786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2000-12-08T19:43:54Z</cp:lastPrinted>
  <dcterms:created xsi:type="dcterms:W3CDTF">2000-10-11T19:44:58Z</dcterms:created>
  <dcterms:modified xsi:type="dcterms:W3CDTF">2000-12-08T19:45:32Z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2.0</vt:lpwstr>
  </property>
</Properties>
</file>